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95" windowHeight="7170" tabRatio="812" activeTab="6"/>
  </bookViews>
  <sheets>
    <sheet name="กรอกข้อมูล" sheetId="7" r:id="rId1"/>
    <sheet name="1เกณฑ์ปันส่วน" sheetId="2" r:id="rId2"/>
    <sheet name="2ข้อมูลปันส่วน" sheetId="1" r:id="rId3"/>
    <sheet name="3ปันส่วนคณะ" sheetId="6" r:id="rId4"/>
    <sheet name="เสื่อมอาคาร" sheetId="10" r:id="rId5"/>
    <sheet name="เสื่อมพัสดุ" sheetId="11" r:id="rId6"/>
    <sheet name="UCหลักสูตร" sheetId="5" r:id="rId7"/>
    <sheet name="UCostคณะ" sheetId="8" state="hidden" r:id="rId8"/>
  </sheets>
  <externalReferences>
    <externalReference r:id="rId9"/>
  </externalReferences>
  <definedNames>
    <definedName name="หน่วยต้นทุน">[1]Depart!$B$7:$B$18</definedName>
  </definedNames>
  <calcPr calcId="125725"/>
</workbook>
</file>

<file path=xl/calcChain.xml><?xml version="1.0" encoding="utf-8"?>
<calcChain xmlns="http://schemas.openxmlformats.org/spreadsheetml/2006/main">
  <c r="D1" i="1"/>
  <c r="B6" l="1"/>
  <c r="D1" i="8"/>
  <c r="B28" i="11"/>
  <c r="E1" i="6"/>
  <c r="H1"/>
  <c r="A1" i="5"/>
  <c r="E2" i="11"/>
  <c r="J2" i="10"/>
  <c r="D1" i="11"/>
  <c r="C1"/>
  <c r="E1" i="10"/>
  <c r="G1" i="2"/>
  <c r="H8" i="11" l="1"/>
  <c r="G4"/>
  <c r="H4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G7"/>
  <c r="H7" s="1"/>
  <c r="G6"/>
  <c r="H6" s="1"/>
  <c r="G5"/>
  <c r="H5" s="1"/>
  <c r="I73" i="10"/>
  <c r="J74" s="1"/>
  <c r="I71"/>
  <c r="J72" s="1"/>
  <c r="I69"/>
  <c r="F69"/>
  <c r="I67"/>
  <c r="J68" s="1"/>
  <c r="I65"/>
  <c r="J66" s="1"/>
  <c r="I63"/>
  <c r="J64" s="1"/>
  <c r="I61"/>
  <c r="F61"/>
  <c r="I59"/>
  <c r="J60" s="1"/>
  <c r="I57"/>
  <c r="J58" s="1"/>
  <c r="I55"/>
  <c r="J56" s="1"/>
  <c r="I53"/>
  <c r="J54" s="1"/>
  <c r="I51"/>
  <c r="J52" s="1"/>
  <c r="I49"/>
  <c r="F49"/>
  <c r="I47"/>
  <c r="J48" s="1"/>
  <c r="I45"/>
  <c r="J46" s="1"/>
  <c r="J44"/>
  <c r="I43"/>
  <c r="I41"/>
  <c r="J42" s="1"/>
  <c r="I39"/>
  <c r="F39"/>
  <c r="I37"/>
  <c r="J38" s="1"/>
  <c r="I35"/>
  <c r="J36" s="1"/>
  <c r="I33"/>
  <c r="F33"/>
  <c r="I31"/>
  <c r="J32" s="1"/>
  <c r="I29"/>
  <c r="J30" s="1"/>
  <c r="I27"/>
  <c r="J28" s="1"/>
  <c r="I25"/>
  <c r="J26" s="1"/>
  <c r="I23"/>
  <c r="F23"/>
  <c r="I21"/>
  <c r="J22" s="1"/>
  <c r="I19"/>
  <c r="J20" s="1"/>
  <c r="I17"/>
  <c r="F17"/>
  <c r="I15"/>
  <c r="J16" s="1"/>
  <c r="I13"/>
  <c r="J14" s="1"/>
  <c r="I11"/>
  <c r="F11"/>
  <c r="I9"/>
  <c r="J10" s="1"/>
  <c r="I7"/>
  <c r="J8" s="1"/>
  <c r="I4"/>
  <c r="J50" s="1"/>
  <c r="F4"/>
  <c r="G70" s="1"/>
  <c r="D28" i="11" l="1"/>
  <c r="J5" i="10"/>
  <c r="J24"/>
  <c r="J34"/>
  <c r="J62"/>
  <c r="J70"/>
  <c r="J6"/>
  <c r="J12"/>
  <c r="J18"/>
  <c r="J40"/>
  <c r="G5"/>
  <c r="G6"/>
  <c r="G12"/>
  <c r="G18"/>
  <c r="G24"/>
  <c r="G34"/>
  <c r="G40"/>
  <c r="G50"/>
  <c r="G62"/>
  <c r="J79" l="1"/>
  <c r="F25" i="6"/>
  <c r="A25"/>
  <c r="B38" i="7"/>
  <c r="A21" i="6"/>
  <c r="C19" i="5"/>
  <c r="C18"/>
  <c r="E104" i="7"/>
  <c r="H35" s="1"/>
  <c r="C16" i="5" s="1"/>
  <c r="E96" i="7"/>
  <c r="C36" s="1"/>
  <c r="C15" i="5" s="1"/>
  <c r="E86" i="7"/>
  <c r="E70"/>
  <c r="E53"/>
  <c r="C4" i="5"/>
  <c r="C22"/>
  <c r="I5" i="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G6"/>
  <c r="G7"/>
  <c r="G25" s="1"/>
  <c r="G8"/>
  <c r="G9"/>
  <c r="G10"/>
  <c r="G11"/>
  <c r="G12"/>
  <c r="G13"/>
  <c r="G14"/>
  <c r="G15"/>
  <c r="G16"/>
  <c r="G17"/>
  <c r="G18"/>
  <c r="G19"/>
  <c r="G20"/>
  <c r="G21"/>
  <c r="G22"/>
  <c r="G23"/>
  <c r="G24"/>
  <c r="G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5"/>
  <c r="D30"/>
  <c r="C10" i="5" s="1"/>
  <c r="D29" i="7"/>
  <c r="C9" i="5" s="1"/>
  <c r="D28" i="7"/>
  <c r="C8" i="5" s="1"/>
  <c r="D27" i="7"/>
  <c r="C7" i="5" s="1"/>
  <c r="A24" i="6" l="1"/>
  <c r="A23"/>
  <c r="C35" i="7"/>
  <c r="C14" i="5" s="1"/>
  <c r="C13" s="1"/>
  <c r="D13" s="1"/>
  <c r="E13" s="1"/>
  <c r="F13" s="1"/>
  <c r="I25" i="7"/>
  <c r="D32" s="1"/>
  <c r="C12" i="5" s="1"/>
  <c r="D12" s="1"/>
  <c r="H25" i="7"/>
  <c r="D31" s="1"/>
  <c r="C11" i="5" s="1"/>
  <c r="D11" s="1"/>
  <c r="J11" i="7"/>
  <c r="J12"/>
  <c r="J13"/>
  <c r="J14"/>
  <c r="J15"/>
  <c r="J16"/>
  <c r="J17"/>
  <c r="J18"/>
  <c r="J19"/>
  <c r="J20"/>
  <c r="E25"/>
  <c r="F25"/>
  <c r="D25"/>
  <c r="J6"/>
  <c r="J7"/>
  <c r="J8"/>
  <c r="J9"/>
  <c r="J10"/>
  <c r="J21"/>
  <c r="J22"/>
  <c r="J23"/>
  <c r="J24"/>
  <c r="J5"/>
  <c r="D21" i="1"/>
  <c r="E21"/>
  <c r="C21"/>
  <c r="K6" i="2"/>
  <c r="K12" s="1"/>
  <c r="J12"/>
  <c r="J11"/>
  <c r="J10"/>
  <c r="J9"/>
  <c r="J8"/>
  <c r="J7"/>
  <c r="I11"/>
  <c r="I10"/>
  <c r="I9"/>
  <c r="I8"/>
  <c r="I12" s="1"/>
  <c r="I7"/>
  <c r="I13" s="1"/>
  <c r="B5" i="6"/>
  <c r="B6"/>
  <c r="B7"/>
  <c r="B8"/>
  <c r="B9"/>
  <c r="B10"/>
  <c r="B11"/>
  <c r="B12"/>
  <c r="B13"/>
  <c r="B14"/>
  <c r="B15"/>
  <c r="B16"/>
  <c r="B17"/>
  <c r="B18"/>
  <c r="B4"/>
  <c r="G5"/>
  <c r="G6"/>
  <c r="G7"/>
  <c r="G8"/>
  <c r="G9"/>
  <c r="G10"/>
  <c r="G11"/>
  <c r="G12"/>
  <c r="G13"/>
  <c r="G14"/>
  <c r="G15"/>
  <c r="G16"/>
  <c r="G17"/>
  <c r="G18"/>
  <c r="G4"/>
  <c r="E5"/>
  <c r="E6"/>
  <c r="E7"/>
  <c r="E8"/>
  <c r="E9"/>
  <c r="E10"/>
  <c r="E11"/>
  <c r="E12"/>
  <c r="E13"/>
  <c r="E14"/>
  <c r="E15"/>
  <c r="E16"/>
  <c r="E17"/>
  <c r="E18"/>
  <c r="E4"/>
  <c r="C5"/>
  <c r="C6"/>
  <c r="C7"/>
  <c r="C8"/>
  <c r="C9"/>
  <c r="C10"/>
  <c r="C11"/>
  <c r="C12"/>
  <c r="C13"/>
  <c r="C14"/>
  <c r="C15"/>
  <c r="C16"/>
  <c r="C17"/>
  <c r="C18"/>
  <c r="C4"/>
  <c r="C32" i="2"/>
  <c r="C25"/>
  <c r="H13"/>
  <c r="C16"/>
  <c r="F18" i="5"/>
  <c r="D22"/>
  <c r="E19"/>
  <c r="D16"/>
  <c r="E16" s="1"/>
  <c r="F16" s="1"/>
  <c r="D15"/>
  <c r="D10"/>
  <c r="D9"/>
  <c r="D8"/>
  <c r="D7"/>
  <c r="D4"/>
  <c r="E4" s="1"/>
  <c r="F4" s="1"/>
  <c r="D14" l="1"/>
  <c r="K7" i="2"/>
  <c r="K9"/>
  <c r="K11"/>
  <c r="E8" i="5"/>
  <c r="F8" s="1"/>
  <c r="E12"/>
  <c r="F12" s="1"/>
  <c r="E10"/>
  <c r="F10" s="1"/>
  <c r="E15"/>
  <c r="F15" s="1"/>
  <c r="E7"/>
  <c r="F7" s="1"/>
  <c r="E9"/>
  <c r="F9" s="1"/>
  <c r="E14"/>
  <c r="F14" s="1"/>
  <c r="E11"/>
  <c r="F11" s="1"/>
  <c r="C19" i="6"/>
  <c r="E19"/>
  <c r="G19"/>
  <c r="E22" i="5"/>
  <c r="F22" s="1"/>
  <c r="C6"/>
  <c r="J25" i="7"/>
  <c r="K8" i="2"/>
  <c r="K10"/>
  <c r="J13"/>
  <c r="I23" s="1"/>
  <c r="I4" i="1" s="1"/>
  <c r="H23" i="2"/>
  <c r="H4" i="1"/>
  <c r="C17" i="5"/>
  <c r="E18"/>
  <c r="E17" s="1"/>
  <c r="D18"/>
  <c r="D19"/>
  <c r="F19"/>
  <c r="F17" s="1"/>
  <c r="D6" l="1"/>
  <c r="E6" s="1"/>
  <c r="F6" s="1"/>
  <c r="F5" s="1"/>
  <c r="C5"/>
  <c r="C24" s="1"/>
  <c r="K13" i="2"/>
  <c r="J23" s="1"/>
  <c r="J4" i="1" s="1"/>
  <c r="H15" i="6" s="1"/>
  <c r="F17"/>
  <c r="F15"/>
  <c r="F13"/>
  <c r="F11"/>
  <c r="F9"/>
  <c r="F7"/>
  <c r="F5"/>
  <c r="F18"/>
  <c r="F16"/>
  <c r="F14"/>
  <c r="F12"/>
  <c r="F10"/>
  <c r="F8"/>
  <c r="F6"/>
  <c r="F4"/>
  <c r="D18"/>
  <c r="D16"/>
  <c r="D14"/>
  <c r="D12"/>
  <c r="D10"/>
  <c r="D8"/>
  <c r="D4"/>
  <c r="F24" s="1"/>
  <c r="D5"/>
  <c r="D17"/>
  <c r="D15"/>
  <c r="D13"/>
  <c r="D11"/>
  <c r="D9"/>
  <c r="D7"/>
  <c r="D6"/>
  <c r="D17" i="5"/>
  <c r="H17" i="6" l="1"/>
  <c r="K23" i="2"/>
  <c r="K4" i="1" s="1"/>
  <c r="D5" i="5"/>
  <c r="D24" s="1"/>
  <c r="H16" i="6"/>
  <c r="I16" s="1"/>
  <c r="H8"/>
  <c r="I8" s="1"/>
  <c r="H9"/>
  <c r="E5" i="5"/>
  <c r="E24" s="1"/>
  <c r="H4" i="6"/>
  <c r="I4" s="1"/>
  <c r="H12"/>
  <c r="I12" s="1"/>
  <c r="H5"/>
  <c r="H13"/>
  <c r="I13" s="1"/>
  <c r="H6"/>
  <c r="I6" s="1"/>
  <c r="H10"/>
  <c r="H14"/>
  <c r="H18"/>
  <c r="I18" s="1"/>
  <c r="H7"/>
  <c r="I7" s="1"/>
  <c r="H11"/>
  <c r="I11" s="1"/>
  <c r="F24" i="5"/>
  <c r="C25"/>
  <c r="D25"/>
  <c r="F25"/>
  <c r="I9" i="6"/>
  <c r="I17"/>
  <c r="I5"/>
  <c r="F23" s="1"/>
  <c r="F26" s="1"/>
  <c r="C20" i="5" s="1"/>
  <c r="D20" s="1"/>
  <c r="E20" s="1"/>
  <c r="F20" s="1"/>
  <c r="F21" s="1"/>
  <c r="I10" i="6"/>
  <c r="I14"/>
  <c r="I15"/>
  <c r="F19"/>
  <c r="D19"/>
  <c r="D21" i="5" l="1"/>
  <c r="C21"/>
  <c r="F26"/>
  <c r="C26"/>
  <c r="D26"/>
  <c r="E25"/>
  <c r="E26"/>
  <c r="E21"/>
  <c r="H19" i="6"/>
  <c r="I19"/>
</calcChain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16"/>
            <color indexed="81"/>
            <rFont val="Angsana New"/>
            <family val="1"/>
          </rPr>
          <t>ถ้าไม่มีเงินให้ว่างไว้</t>
        </r>
      </text>
    </comment>
    <comment ref="F4" authorId="0">
      <text>
        <r>
          <rPr>
            <b/>
            <sz val="16"/>
            <color indexed="81"/>
            <rFont val="AngsanaUPC"/>
            <family val="1"/>
            <charset val="222"/>
          </rPr>
          <t>ถ้าไม่มีเงินให้ว่างไว้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4 ต่อปี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คิดอัตราเพิ่มร้อยละ 2 ต่อปี</t>
        </r>
      </text>
    </comment>
    <comment ref="C22" authorId="0">
      <text>
        <r>
          <rPr>
            <b/>
            <sz val="16"/>
            <color indexed="81"/>
            <rFont val="AngsanaUPC"/>
            <family val="1"/>
            <charset val="222"/>
          </rPr>
          <t>นักศึกษาเพิ่มร้อยละ 4</t>
        </r>
      </text>
    </comment>
  </commentList>
</comments>
</file>

<file path=xl/sharedStrings.xml><?xml version="1.0" encoding="utf-8"?>
<sst xmlns="http://schemas.openxmlformats.org/spreadsheetml/2006/main" count="504" uniqueCount="222">
  <si>
    <t>ที่</t>
  </si>
  <si>
    <t>รวม</t>
  </si>
  <si>
    <t xml:space="preserve"> </t>
  </si>
  <si>
    <t xml:space="preserve">รายจ่าย </t>
  </si>
  <si>
    <t>งบประมาณปี</t>
  </si>
  <si>
    <t>ประมาณการปี</t>
  </si>
  <si>
    <t xml:space="preserve">          - เงินเดือน(ข้าราชการ)</t>
  </si>
  <si>
    <t xml:space="preserve">          - เงินเดือน(พนักงานมหาลัย)</t>
  </si>
  <si>
    <t xml:space="preserve">         -  ค่าจ้างประจำ</t>
  </si>
  <si>
    <t xml:space="preserve">          - ค่าจ้างชั่วคราว</t>
  </si>
  <si>
    <t xml:space="preserve">         -  เงินประจำตำแหน่ง(หัวหน้าภาควิชา/หลักสูตร)</t>
  </si>
  <si>
    <t xml:space="preserve">         -  เงินประจำตำแหน่งทางวิชาการ</t>
  </si>
  <si>
    <t xml:space="preserve">         - ค่าตอบแทน ใช้สอย และวัสดุ</t>
  </si>
  <si>
    <t xml:space="preserve">         - ค่าสาธารณูปโภค</t>
  </si>
  <si>
    <t xml:space="preserve">  -  ค่าครุภัณฑ์</t>
  </si>
  <si>
    <t xml:space="preserve">  -  ค่าที่ดินและสิ่งก่อสร้าง </t>
  </si>
  <si>
    <t>รวมทั้งสิ้น</t>
  </si>
  <si>
    <t xml:space="preserve">  ค่าใช้จ่ายต่อหัว น.ศ.เต็มเวลา  </t>
  </si>
  <si>
    <t>หมายเหตุ    :</t>
  </si>
  <si>
    <t>2.  ค่าครุภัณฑ์และ  ค่าทิ่ดินและสิ่งก่อสร้าง  เป็นการคิดคำนวณตามอายุการใช้งาน(ค่าเสื่อมราคา)  ตามที่</t>
  </si>
  <si>
    <t xml:space="preserve">      กรมบัญชีกลางกำหนด</t>
  </si>
  <si>
    <t xml:space="preserve">      ให้แก่ภาควิชา/หลักสูตร  รวมกับเงินอุดหนุนจากเงินรายได้ของส่วนกลาง  ที่ได้ปันส่วนต้นทุนให้กับ</t>
  </si>
  <si>
    <t xml:space="preserve">      ภาควิชา/หลักสูตร</t>
  </si>
  <si>
    <t xml:space="preserve">     เช่น หน่วยคอมพิวเตอร์ หน่วยเครื่องมือกลาง  หน่วยเรือนเลี้ยงสัตว์ทดลอง หน่วยงานในสำนักงาน</t>
  </si>
  <si>
    <t xml:space="preserve">5.  ค่าใช้จ่ายทั้งหมดไม่ได้รวมค่าใช้จ่ายทางอ้อมที่เกิดจากหน่วยงานสนับสนุนของมหาวิทยาลัย เช่น  </t>
  </si>
  <si>
    <t xml:space="preserve">     ศูนย์คอมพิวเตอร์  ห้องสมุด ฯลฯ</t>
  </si>
  <si>
    <t xml:space="preserve">    -  งบบุคลากร</t>
  </si>
  <si>
    <t xml:space="preserve">    -  งบดำเนินงาน</t>
  </si>
  <si>
    <t xml:space="preserve">    -  งบเงินอุดหนุน </t>
  </si>
  <si>
    <t xml:space="preserve">   -  เฉพาะงบดำเนินการ</t>
  </si>
  <si>
    <t>จำนวนนักศึกษา (คน)</t>
  </si>
  <si>
    <t>หน่วยงาน</t>
  </si>
  <si>
    <t>สำนักคอมพิวเตอร์</t>
  </si>
  <si>
    <t>สำนักหอสมุด</t>
  </si>
  <si>
    <t>สำนักทะเบียน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</si>
  <si>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</si>
  <si>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</si>
  <si>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</si>
  <si>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</si>
  <si>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</si>
  <si>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</si>
  <si>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หน่วยงาน/ ค่าใช้จ่าย</t>
  </si>
  <si>
    <t>ส่วนอาคารและสถานที่</t>
  </si>
  <si>
    <t>ค่าเสื่อมราคาสิ่งก่อสร้าง</t>
  </si>
  <si>
    <t xml:space="preserve">ค่าใช้จ่ายรวม </t>
  </si>
  <si>
    <t>กองการเจ้าหน้าที่</t>
  </si>
  <si>
    <t xml:space="preserve"> FTES</t>
  </si>
  <si>
    <t>พื้นที่</t>
  </si>
  <si>
    <t>บุคลากร</t>
  </si>
  <si>
    <t>กองคลัง</t>
  </si>
  <si>
    <t>กองแผนงาน</t>
  </si>
  <si>
    <t>กองกลาง</t>
  </si>
  <si>
    <t>หน่วยตรวจสอบภายใน</t>
  </si>
  <si>
    <t>ค่าใช้จ่ายรวม</t>
  </si>
  <si>
    <t>E</t>
  </si>
  <si>
    <t>F</t>
  </si>
  <si>
    <t>G</t>
  </si>
  <si>
    <t>FTES</t>
  </si>
  <si>
    <t>รวมค่าใช้จ่าย</t>
  </si>
  <si>
    <t>1. แยกประเภทกลุ่มค่าใช้จ่ายที่ต้องการปันด้วยเกณฑ์</t>
  </si>
  <si>
    <t>2.1 จำนวน FTES  พื้นที่ และจำนวนบุคลากร</t>
  </si>
  <si>
    <t>คณะ</t>
  </si>
  <si>
    <t>จำนวน FTES</t>
  </si>
  <si>
    <t>จำนวนพื้นที่</t>
  </si>
  <si>
    <t>หน่วย : ตรม.</t>
  </si>
  <si>
    <t>จำนวนบุคลากร</t>
  </si>
  <si>
    <t>หน่วย : จำนวนคน</t>
  </si>
  <si>
    <t>ศิลปศาสตร์</t>
  </si>
  <si>
    <t>สถาปัตยกรรมศาสตร์</t>
  </si>
  <si>
    <t>วิศวกรรมศาสตร์</t>
  </si>
  <si>
    <t xml:space="preserve">2.2 รวมกลุ่มค่าใช้จ่ายทางอ้อมทั้งหมดแยกตามประเภทการปัน </t>
  </si>
  <si>
    <t>1.3 กลุ่มค่าใช้จ่ายทางอ้อมที่ปันด้วยเกณฑ์บุคลากร</t>
  </si>
  <si>
    <t>จำนวนบุคลากร (คน)</t>
  </si>
  <si>
    <t>ค่าใช้จ่ายทางอ้อมที่ปันด้วย FTES (บาท)</t>
  </si>
  <si>
    <t>ค่าใช้จ่ายทางอ้อมที่ปันด้วยพื้นที่ (ตร.ม.)</t>
  </si>
  <si>
    <t>ค่าใช้จ่ายทางอ้อมที่ปันด้วยบุคลากร (บาท)</t>
  </si>
  <si>
    <t>รวมค่าใช้จ่ายทางอ้อม (บาท)</t>
  </si>
  <si>
    <t>พื้นที่ (ตร.ม.)</t>
  </si>
  <si>
    <t>สัดส่วนค่าใช้จ่ายในการปัน (%)</t>
  </si>
  <si>
    <t>ค่าใช้จ่าย (บาท)</t>
  </si>
  <si>
    <t>รวมค่าใช้จ่าย (บาท)</t>
  </si>
  <si>
    <t>ค่าใช้จ่ายรวม (บาท)</t>
  </si>
  <si>
    <r>
      <t>1.1 กลุ่มค่าใช้จ่ายทางอ้อมที่ปัน</t>
    </r>
    <r>
      <rPr>
        <b/>
        <u/>
        <sz val="16"/>
        <color theme="1"/>
        <rFont val="AngsanaUPC"/>
        <family val="1"/>
        <charset val="222"/>
      </rPr>
      <t>ด้วยเกณฑ์ FTES</t>
    </r>
  </si>
  <si>
    <r>
      <t>1.4 กลุ่มค่าใช้จ่ายทางอ้อมที่ปันด้วย</t>
    </r>
    <r>
      <rPr>
        <b/>
        <u/>
        <sz val="16"/>
        <color theme="1"/>
        <rFont val="AngsanaUPC"/>
        <family val="1"/>
        <charset val="222"/>
      </rPr>
      <t>เกณฑ์ผสม</t>
    </r>
  </si>
  <si>
    <r>
      <t>1.2 กลุ่มค่าใช้จ่ายทางอ้อมที่ปัน</t>
    </r>
    <r>
      <rPr>
        <u/>
        <sz val="16"/>
        <color theme="1"/>
        <rFont val="AngsanaUPC"/>
        <family val="1"/>
        <charset val="222"/>
      </rPr>
      <t>ด้วยเกณฑ์พื้นที่</t>
    </r>
  </si>
  <si>
    <t>งบประมาณค่าใช้จ่ายในการผลิตบัณฑิต</t>
  </si>
  <si>
    <t>1.  ค่าใช้จ่ายข้างต้นเป็นภาพรวมของทั้งสาขาวิชาที่แยกค่าใช้จ่ายในระดับบัณฑิตศึกษาออก</t>
  </si>
  <si>
    <t>3.  งบเงินอุดหนุน  คือ  งบประมาณเงินรายได้ของคณะ  ประเภทเงินอุดหนุน  ที่ได้จัดสรร</t>
  </si>
  <si>
    <t>4.  ค่าใช้จ่ายทั้งหมดได้รวมค่าใช้จ่ายทางอ้อมที่เกิดจากหน่วยงานสนับสนุนภายในคณะ</t>
  </si>
  <si>
    <t xml:space="preserve">     เลขานุการคณะ ฯลฯ</t>
  </si>
  <si>
    <t>รวมค่าใช้จ่ายทางอ้อมปันค่าใช้จ่ายให้หลักสูตร/สาขาวิชา (บาท)</t>
  </si>
  <si>
    <t>1. รวมงบดำเนินการ</t>
  </si>
  <si>
    <t xml:space="preserve">2. รวมงบลงทุน </t>
  </si>
  <si>
    <t>3. รวมค่าใช้จ่ายทางอ้อมปันค่าใช้จ่ายให้หลักสูตร/สาขาวิชา</t>
  </si>
  <si>
    <t xml:space="preserve">   -  เฉพาะงบดำเนินการและงบลงทุน</t>
  </si>
  <si>
    <t xml:space="preserve">   -  รวมทุกประเภทรายจ่าย (งบดำเนินการ+งบลงทุน+ค่าใช้จ่ายทางอ้อม)</t>
  </si>
  <si>
    <t>ชื่อ - สกุล</t>
  </si>
  <si>
    <t>ประเภท</t>
  </si>
  <si>
    <t>เงินเดือน (บาท/เดือน)</t>
  </si>
  <si>
    <t>เงินประจำตำแหน่งบริหาร (บาท/เดือน)</t>
  </si>
  <si>
    <t>เงินประจำตำแหน่งวิชาการ (บาท/เดือน)</t>
  </si>
  <si>
    <t>รวมรายได้ทั้งหมด (บาท/ปี)</t>
  </si>
  <si>
    <t>ข้าราชการ</t>
  </si>
  <si>
    <t>พนักงานมหาวิทยาลัย</t>
  </si>
  <si>
    <t>3. รวมค่าใช้จ่ายทางอ้อมปันค่าใช้จ่ายให้คณะ</t>
  </si>
  <si>
    <t xml:space="preserve"> เงินเดือน(ข้าราชการ)</t>
  </si>
  <si>
    <t>เงินเดือน(พนักงานมหาลัย)</t>
  </si>
  <si>
    <t>ค่าจ้างประจำ</t>
  </si>
  <si>
    <t>ค่าจ้างชั่วคราว</t>
  </si>
  <si>
    <t xml:space="preserve"> เงินประจำตำแหน่งทางวิชาการ</t>
  </si>
  <si>
    <t>รวมเงินเดือน (บาท/ปี)</t>
  </si>
  <si>
    <t>รวมเงินประจำตำแหน่งบริหาร (บาท/ปี)</t>
  </si>
  <si>
    <t>เงินประจำตำแหน่งวิชาการ (บาท/ปี)</t>
  </si>
  <si>
    <t>เงินประจำตำแหน่งบริหาร (หัวหน้าภาควิชา/หลักสูตร)</t>
  </si>
  <si>
    <t>1. งบดำเนินการ</t>
  </si>
  <si>
    <t>1.1 งบบุคลากร</t>
  </si>
  <si>
    <t>1.2 งบดำเนินงาน</t>
  </si>
  <si>
    <t>1.3 งบเงินอุดหนุน</t>
  </si>
  <si>
    <t>บาท/ปี</t>
  </si>
  <si>
    <t>2. งบลงทุน</t>
  </si>
  <si>
    <t xml:space="preserve">  ค่าตอบแทน ใช้สอยและวัสดุ</t>
  </si>
  <si>
    <t xml:space="preserve">  ค่าสาธารณูปโภค</t>
  </si>
  <si>
    <t xml:space="preserve">   จำนวนเงินอุดหนุน</t>
  </si>
  <si>
    <t xml:space="preserve">    ค่าที่ดินและสิ่งก่อสร้าง </t>
  </si>
  <si>
    <t xml:space="preserve">    ค่าครุภัณฑ์</t>
  </si>
  <si>
    <t>เทคโนโลยีชีวภาพ</t>
  </si>
  <si>
    <t>ปีงบประมาณ</t>
  </si>
  <si>
    <t>พัฒนาโดย</t>
  </si>
  <si>
    <t>ผู้ช่วยศาสตราจารย์ ดร.เฉลิมเกียรติ  ดุลสัมพันธ์</t>
  </si>
  <si>
    <t>คณะวิทยาศาสตร์   มหาวิทยาลัยราชภัฏจันทรเกษม</t>
  </si>
  <si>
    <t>cdulsamphan@yahoo.com      Tel: 081-7134828</t>
  </si>
  <si>
    <t>ค่าเช่าบ้าน</t>
  </si>
  <si>
    <t>ค่าตรวจกระดาษคำตอบ</t>
  </si>
  <si>
    <t>ค่าตอบแทนกรรมการตรวจการจ้าง</t>
  </si>
  <si>
    <t>ค่าตอบแทนวิทยากร (สัมมนาและฝึกอบรม)</t>
  </si>
  <si>
    <t>ค่าตอบแทนเหมาจ่ายจัดหารถยนต์</t>
  </si>
  <si>
    <t>ค่าเบี้ยประชุมกรรมการ</t>
  </si>
  <si>
    <t>ค่าสอนพิเศษ</t>
  </si>
  <si>
    <t>ค่าอาหารทำการนอกเวลา</t>
  </si>
  <si>
    <t>เงินพิเศษจ่ายแก่ลูกจ้างในต่างประเทศ</t>
  </si>
  <si>
    <t>เงินสมนาคุณอาจารย์ และรายการค่าตอบแทนอื่น ๆ</t>
  </si>
  <si>
    <t>ค่าโฆษณาและเผยแพร่</t>
  </si>
  <si>
    <t>ค่าจ้างเหมาบริการ</t>
  </si>
  <si>
    <t>ค่าเช่าทรัพย์สิน ค่าเช่ารถยนต์</t>
  </si>
  <si>
    <t>ค่าใช้จ่ายในการเดินทางไปราชการต่างประเทศชั่วคราว</t>
  </si>
  <si>
    <t>ค่าใช้จ่ายในการบำรุงรักษาเครื่องปรับอากาศ</t>
  </si>
  <si>
    <t>ค่าใช้จ่ายในการสัมมนาและฝึกอบรม</t>
  </si>
  <si>
    <t>ค่าซ่อมแซมครุภัณฑ์ ยานพาหนะและขนส่ง และสิ่งก่อสร้าง</t>
  </si>
  <si>
    <t>ค่าเบี้ยเลี้ยง ค่าเช่าที่พักและค่าพาหนะ</t>
  </si>
  <si>
    <t>ค่าประกันภัย</t>
  </si>
  <si>
    <t>ค่าประชาสัมพันธ์</t>
  </si>
  <si>
    <t>ค่าภาษีและค่าธรรมเนียม</t>
  </si>
  <si>
    <t>ค่าย้ายถิ่นที่อยู่</t>
  </si>
  <si>
    <t xml:space="preserve">ค่ารับรองและพิธีการ และค่าใช้สอยอื่นๆ </t>
  </si>
  <si>
    <t>วัสดุโฆษณาและเผยแพร่</t>
  </si>
  <si>
    <t>วัสดุงานบ้านงานครัว</t>
  </si>
  <si>
    <t>วัสดุเชื้อเพลิงและหล่อลื่น</t>
  </si>
  <si>
    <t>วัสดุไฟฟ้าและวิทยุ</t>
  </si>
  <si>
    <t>วัสดุยานพาหนะและขนส่ง</t>
  </si>
  <si>
    <t>วัสดุยุทธภัณฑ์</t>
  </si>
  <si>
    <t>วัสดุวิทยาศาสตร์หรือการแพทย์, วัสดุเวชภัณฑ์</t>
  </si>
  <si>
    <t>วัสดุสนามและการฝึก</t>
  </si>
  <si>
    <t>วัสดุสำนักงาน</t>
  </si>
  <si>
    <t>วัสดุหนังสือ วารสารและตำรา</t>
  </si>
  <si>
    <t>วัสดุอาหาร และวัสดุอื่น ๆ</t>
  </si>
  <si>
    <t>ค่าตอบแทน</t>
  </si>
  <si>
    <t>จำนวน (บาท)</t>
  </si>
  <si>
    <t>2.2 ค่าใช้สอย</t>
  </si>
  <si>
    <t>2.3 ค่าวัสดุ</t>
  </si>
  <si>
    <t>ค่าโทรศัพท์</t>
  </si>
  <si>
    <t>ค่าน้ำประปา</t>
  </si>
  <si>
    <t>ค่าบริการสื่อสารและโทรคมนาคม</t>
  </si>
  <si>
    <t>ค่าไปรษณีย์โทรเลข</t>
  </si>
  <si>
    <t>ค่าไฟฟ้า</t>
  </si>
  <si>
    <t>ค่าสาธารณูปโภคอื่นๆ</t>
  </si>
  <si>
    <t xml:space="preserve"> เงินอุดหนุนสมาชิกสมาคม</t>
  </si>
  <si>
    <t>เงินอุดหนุนการวิจัยนักศึกษาระดับบัณฑิตศึกษา</t>
  </si>
  <si>
    <t xml:space="preserve">เงินอุดหนุนทุนการศึกษา </t>
  </si>
  <si>
    <t xml:space="preserve">เงินอุดหนุนอื่นๆ </t>
  </si>
  <si>
    <t>รายการ</t>
  </si>
  <si>
    <t>นาย ก</t>
  </si>
  <si>
    <t>นาง ข</t>
  </si>
  <si>
    <t>นาย ค</t>
  </si>
  <si>
    <t>นาย ง</t>
  </si>
  <si>
    <t>นาย จ</t>
  </si>
  <si>
    <t>วัสดุก่อสร้าง, วัสดุการเกษตร, วัสดุการศึกษา, วัสดุคอมพิวเตอร์</t>
  </si>
  <si>
    <t>แบบบันทึกพื้นที่ใช้สอยของอาคารและสิ่งปลูกสร้าง สำหรับคิดค่าเสื่อมราคาของปีงบประมาณ พ.ศ.</t>
  </si>
  <si>
    <t>ลำดับ</t>
  </si>
  <si>
    <t>อาคาร/หน่วยงาน</t>
  </si>
  <si>
    <t>ปี พ.ศ.
เริ่มสร้าง</t>
  </si>
  <si>
    <t>ปี พ.ศ.
เริ่มใช้งาน</t>
  </si>
  <si>
    <t>มูลค่าก่อสร้าง
(บาท)</t>
  </si>
  <si>
    <t>พ.ท.ใช้สอย
ตร.ม.</t>
  </si>
  <si>
    <t>สัดส่วน
การใช้งาน</t>
  </si>
  <si>
    <t>อายุการ
ใช้งาน (ปี)</t>
  </si>
  <si>
    <t>ใช้งาน
เป็นปีที่</t>
  </si>
  <si>
    <t>ค่าเสื่อม
(บาท/ ปี)</t>
  </si>
  <si>
    <t>หน่วยต้นทุน</t>
  </si>
  <si>
    <t>อาคารสำนักงานอธิการบดี</t>
  </si>
  <si>
    <t>อาคารคณะเทคโนอุตสาหกรรม</t>
  </si>
  <si>
    <t>อาคารคณะวิทยาศาสตร์</t>
  </si>
  <si>
    <t>แบบบันทึกรายการครุภัณฑ์ สำหรับคิดค่าเสื่อมราคาครุภัณฑ์ สำหรับปีงบประมาณ พ.ศ.</t>
  </si>
  <si>
    <t>รายการครุภัณฑ์</t>
  </si>
  <si>
    <t>ราคาที่ซื้อ
(บาท)</t>
  </si>
  <si>
    <t>ปี พ.ศ.
ที่ใช้งาน</t>
  </si>
  <si>
    <t>อายุการ
ใช้ (ปี)</t>
  </si>
  <si>
    <t>ค่าเสื่อมราคา
ต่อปี (บาท)</t>
  </si>
  <si>
    <t>งานอาคาร</t>
  </si>
  <si>
    <t>เครื่องปั่น</t>
  </si>
  <si>
    <t>รวมค่าเสื่อมราคาอาคาร</t>
  </si>
  <si>
    <t>หลักสูตร/สาขาวิชา</t>
  </si>
  <si>
    <t>งบประมาณค่าใช้จ่ายในการผลิตบัณฑิต มหาวิทยาลัย</t>
  </si>
  <si>
    <t>ราชภัฏเพชรบุรี</t>
  </si>
  <si>
    <t xml:space="preserve">       ตารางสรุปการปันค่าใช้จ่ายทางอ้อมให้คณะ</t>
  </si>
  <si>
    <t>วิทยาศาสตร์และเทคโนโลยี</t>
  </si>
  <si>
    <t>กองอาคาร</t>
  </si>
  <si>
    <t>คณะเทคโนฯ</t>
  </si>
  <si>
    <t>คณะวิทย์</t>
  </si>
  <si>
    <t>บาท</t>
  </si>
  <si>
    <t>ครุศาสตร์ศาสตร์</t>
  </si>
  <si>
    <t xml:space="preserve">2. เก็บรวมรวมข้อมูลที่ใช้ในการปันส่วน </t>
  </si>
  <si>
    <t xml:space="preserve">2.2 ค่าใช้จ่ายทางอ้อมทั้งหมดแยกประเภทการปัน 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</si>
</sst>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;[Red]#,##0"/>
    <numFmt numFmtId="165" formatCode="#,##0.00_ ;\-#,##0.00\ "/>
    <numFmt numFmtId="166" formatCode="_-* #,##0_-;\-* #,##0_-;_-* &quot;-&quot;??_-;_-@_-"/>
    <numFmt numFmtId="167" formatCode="0.0"/>
    <numFmt numFmtId="168" formatCode="#,##0.0000"/>
    <numFmt numFmtId="169" formatCode="0.0000"/>
  </numFmts>
  <fonts count="44">
    <font>
      <sz val="16"/>
      <color theme="1"/>
      <name val="Angsana New"/>
      <family val="2"/>
      <charset val="222"/>
    </font>
    <font>
      <b/>
      <sz val="16"/>
      <color theme="1"/>
      <name val="Angsana New"/>
      <family val="1"/>
    </font>
    <font>
      <sz val="16"/>
      <color theme="1"/>
      <name val="Angsana New"/>
      <family val="2"/>
      <charset val="222"/>
    </font>
    <font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sz val="13"/>
      <name val="Angsana New"/>
      <family val="1"/>
    </font>
    <font>
      <sz val="14"/>
      <color rgb="FFFF0000"/>
      <name val="Angsana New"/>
      <family val="1"/>
    </font>
    <font>
      <b/>
      <sz val="16"/>
      <name val="Angsana New"/>
      <family val="1"/>
    </font>
    <font>
      <b/>
      <sz val="16"/>
      <color theme="1"/>
      <name val="AngsanaUPC"/>
      <family val="1"/>
      <charset val="222"/>
    </font>
    <font>
      <sz val="16"/>
      <color theme="1"/>
      <name val="AngsanaUPC"/>
      <family val="1"/>
      <charset val="222"/>
    </font>
    <font>
      <b/>
      <u/>
      <sz val="16"/>
      <color theme="1"/>
      <name val="AngsanaUPC"/>
      <family val="1"/>
      <charset val="222"/>
    </font>
    <font>
      <u/>
      <sz val="16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b/>
      <sz val="20"/>
      <name val="Angsana New"/>
      <family val="1"/>
    </font>
    <font>
      <b/>
      <sz val="18"/>
      <color theme="1"/>
      <name val="Angsana New"/>
      <family val="1"/>
    </font>
    <font>
      <b/>
      <sz val="16"/>
      <color indexed="81"/>
      <name val="Angsana New"/>
      <family val="1"/>
    </font>
    <font>
      <b/>
      <sz val="16"/>
      <color indexed="81"/>
      <name val="AngsanaUPC"/>
      <family val="1"/>
      <charset val="222"/>
    </font>
    <font>
      <b/>
      <sz val="16"/>
      <color rgb="FF000099"/>
      <name val="Angsana New"/>
      <family val="1"/>
    </font>
    <font>
      <b/>
      <sz val="20"/>
      <color theme="1"/>
      <name val="Angsana New"/>
      <family val="1"/>
    </font>
    <font>
      <b/>
      <sz val="20"/>
      <color rgb="FF000099"/>
      <name val="Angsana New"/>
      <family val="1"/>
    </font>
    <font>
      <b/>
      <sz val="18"/>
      <color rgb="FF000099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Browallia New"/>
      <family val="2"/>
    </font>
    <font>
      <b/>
      <sz val="16"/>
      <color theme="1"/>
      <name val="Angsana New"/>
      <family val="2"/>
      <charset val="222"/>
    </font>
    <font>
      <sz val="14"/>
      <color theme="1"/>
      <name val="Angsana New"/>
      <family val="1"/>
    </font>
    <font>
      <b/>
      <sz val="20"/>
      <color rgb="FF000099"/>
      <name val="AngsanaUPC"/>
      <family val="1"/>
      <charset val="222"/>
    </font>
    <font>
      <b/>
      <sz val="18"/>
      <color theme="1"/>
      <name val="AngsanaUPC"/>
      <family val="1"/>
      <charset val="222"/>
    </font>
    <font>
      <sz val="18"/>
      <color theme="1"/>
      <name val="Angsana New"/>
      <family val="2"/>
      <charset val="222"/>
    </font>
    <font>
      <b/>
      <sz val="18"/>
      <color rgb="FF000099"/>
      <name val="AngsanaUPC"/>
      <family val="1"/>
      <charset val="222"/>
    </font>
    <font>
      <sz val="10"/>
      <name val="Arial"/>
      <family val="2"/>
    </font>
    <font>
      <sz val="20"/>
      <color theme="1"/>
      <name val="Angsana New"/>
      <family val="1"/>
    </font>
    <font>
      <b/>
      <sz val="8"/>
      <color indexed="81"/>
      <name val="Tahoma"/>
      <family val="2"/>
    </font>
    <font>
      <b/>
      <sz val="20"/>
      <color rgb="FF000099"/>
      <name val="AngsanaUPC"/>
      <family val="1"/>
    </font>
    <font>
      <sz val="12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sz val="16"/>
      <color rgb="FFFF0000"/>
      <name val="Angsana New"/>
      <family val="1"/>
    </font>
    <font>
      <sz val="16"/>
      <color indexed="12"/>
      <name val="Angsana New"/>
      <family val="1"/>
    </font>
    <font>
      <b/>
      <sz val="24"/>
      <color rgb="FF000099"/>
      <name val="Angsana New"/>
      <family val="1"/>
    </font>
    <font>
      <sz val="16"/>
      <color rgb="FF0033CC"/>
      <name val="Angsana New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3" fillId="0" borderId="0">
      <alignment vertical="center"/>
    </xf>
  </cellStyleXfs>
  <cellXfs count="282">
    <xf numFmtId="0" fontId="0" fillId="0" borderId="0" xfId="0"/>
    <xf numFmtId="0" fontId="12" fillId="0" borderId="0" xfId="0" applyFont="1" applyProtection="1"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shrinkToFit="1"/>
      <protection hidden="1"/>
    </xf>
    <xf numFmtId="0" fontId="16" fillId="3" borderId="1" xfId="0" applyFont="1" applyFill="1" applyBorder="1" applyAlignment="1" applyProtection="1">
      <alignment shrinkToFit="1"/>
      <protection hidden="1"/>
    </xf>
    <xf numFmtId="3" fontId="16" fillId="3" borderId="1" xfId="0" applyNumberFormat="1" applyFont="1" applyFill="1" applyBorder="1" applyAlignment="1" applyProtection="1">
      <alignment horizontal="right" shrinkToFit="1"/>
      <protection hidden="1"/>
    </xf>
    <xf numFmtId="0" fontId="16" fillId="3" borderId="1" xfId="0" applyFont="1" applyFill="1" applyBorder="1" applyAlignment="1" applyProtection="1">
      <alignment horizontal="right" shrinkToFit="1"/>
      <protection hidden="1"/>
    </xf>
    <xf numFmtId="3" fontId="11" fillId="4" borderId="1" xfId="0" applyNumberFormat="1" applyFont="1" applyFill="1" applyBorder="1" applyAlignment="1" applyProtection="1">
      <alignment shrinkToFit="1"/>
      <protection hidden="1"/>
    </xf>
    <xf numFmtId="0" fontId="11" fillId="0" borderId="0" xfId="0" applyFont="1" applyProtection="1">
      <protection hidden="1"/>
    </xf>
    <xf numFmtId="0" fontId="12" fillId="4" borderId="36" xfId="0" applyFont="1" applyFill="1" applyBorder="1" applyProtection="1">
      <protection hidden="1"/>
    </xf>
    <xf numFmtId="0" fontId="11" fillId="4" borderId="37" xfId="0" applyFont="1" applyFill="1" applyBorder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0" fontId="11" fillId="4" borderId="38" xfId="0" applyFont="1" applyFill="1" applyBorder="1" applyAlignment="1" applyProtection="1">
      <alignment horizontal="center"/>
      <protection hidden="1"/>
    </xf>
    <xf numFmtId="3" fontId="11" fillId="3" borderId="39" xfId="0" applyNumberFormat="1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3" fontId="11" fillId="3" borderId="1" xfId="0" applyNumberFormat="1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Protection="1"/>
    <xf numFmtId="3" fontId="12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3" fontId="12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3" fontId="11" fillId="3" borderId="1" xfId="0" applyNumberFormat="1" applyFont="1" applyFill="1" applyBorder="1" applyProtection="1">
      <protection hidden="1"/>
    </xf>
    <xf numFmtId="0" fontId="11" fillId="4" borderId="40" xfId="0" applyFont="1" applyFill="1" applyBorder="1" applyAlignment="1" applyProtection="1">
      <alignment horizontal="center"/>
      <protection hidden="1"/>
    </xf>
    <xf numFmtId="0" fontId="11" fillId="4" borderId="41" xfId="0" applyFont="1" applyFill="1" applyBorder="1" applyAlignment="1" applyProtection="1">
      <alignment horizontal="center"/>
      <protection hidden="1"/>
    </xf>
    <xf numFmtId="3" fontId="11" fillId="3" borderId="1" xfId="0" applyNumberFormat="1" applyFont="1" applyFill="1" applyBorder="1" applyAlignment="1" applyProtection="1">
      <alignment horizontal="right"/>
      <protection hidden="1"/>
    </xf>
    <xf numFmtId="3" fontId="12" fillId="2" borderId="1" xfId="0" applyNumberFormat="1" applyFont="1" applyFill="1" applyBorder="1" applyProtection="1"/>
    <xf numFmtId="1" fontId="12" fillId="2" borderId="1" xfId="0" applyNumberFormat="1" applyFont="1" applyFill="1" applyBorder="1" applyAlignment="1" applyProtection="1">
      <alignment horizontal="center"/>
    </xf>
    <xf numFmtId="3" fontId="12" fillId="2" borderId="1" xfId="0" applyNumberFormat="1" applyFont="1" applyFill="1" applyBorder="1" applyAlignment="1" applyProtection="1">
      <alignment horizontal="right"/>
    </xf>
    <xf numFmtId="0" fontId="17" fillId="0" borderId="0" xfId="3" applyFont="1" applyBorder="1" applyAlignment="1" applyProtection="1">
      <alignment horizontal="left"/>
      <protection hidden="1"/>
    </xf>
    <xf numFmtId="0" fontId="4" fillId="0" borderId="0" xfId="3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5" fillId="0" borderId="0" xfId="3" applyFont="1" applyProtection="1">
      <protection hidden="1"/>
    </xf>
    <xf numFmtId="0" fontId="5" fillId="0" borderId="0" xfId="3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4" borderId="10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164" fontId="4" fillId="3" borderId="13" xfId="3" applyNumberFormat="1" applyFont="1" applyFill="1" applyBorder="1" applyAlignment="1" applyProtection="1">
      <alignment horizontal="right"/>
      <protection hidden="1"/>
    </xf>
    <xf numFmtId="164" fontId="5" fillId="3" borderId="16" xfId="3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164" fontId="9" fillId="3" borderId="1" xfId="3" applyNumberFormat="1" applyFont="1" applyFill="1" applyBorder="1" applyAlignment="1" applyProtection="1">
      <alignment horizontal="right"/>
      <protection hidden="1"/>
    </xf>
    <xf numFmtId="3" fontId="5" fillId="3" borderId="1" xfId="3" applyNumberFormat="1" applyFont="1" applyFill="1" applyBorder="1" applyAlignment="1" applyProtection="1">
      <alignment horizontal="right"/>
      <protection hidden="1"/>
    </xf>
    <xf numFmtId="164" fontId="5" fillId="3" borderId="1" xfId="3" applyNumberFormat="1" applyFont="1" applyFill="1" applyBorder="1" applyAlignment="1" applyProtection="1">
      <alignment horizontal="right"/>
      <protection hidden="1"/>
    </xf>
    <xf numFmtId="3" fontId="4" fillId="3" borderId="28" xfId="3" applyNumberFormat="1" applyFont="1" applyFill="1" applyBorder="1" applyAlignment="1" applyProtection="1">
      <alignment horizontal="right"/>
      <protection hidden="1"/>
    </xf>
    <xf numFmtId="3" fontId="5" fillId="3" borderId="25" xfId="3" applyNumberFormat="1" applyFont="1" applyFill="1" applyBorder="1" applyAlignment="1" applyProtection="1">
      <alignment horizontal="right"/>
      <protection hidden="1"/>
    </xf>
    <xf numFmtId="3" fontId="5" fillId="3" borderId="29" xfId="3" applyNumberFormat="1" applyFont="1" applyFill="1" applyBorder="1" applyAlignment="1" applyProtection="1">
      <alignment horizontal="right"/>
      <protection hidden="1"/>
    </xf>
    <xf numFmtId="1" fontId="5" fillId="3" borderId="25" xfId="3" applyNumberFormat="1" applyFont="1" applyFill="1" applyBorder="1" applyAlignment="1" applyProtection="1">
      <alignment horizontal="right"/>
      <protection hidden="1"/>
    </xf>
    <xf numFmtId="0" fontId="5" fillId="4" borderId="29" xfId="3" applyFont="1" applyFill="1" applyBorder="1" applyAlignment="1" applyProtection="1">
      <alignment horizontal="right"/>
      <protection hidden="1"/>
    </xf>
    <xf numFmtId="3" fontId="5" fillId="3" borderId="33" xfId="3" applyNumberFormat="1" applyFont="1" applyFill="1" applyBorder="1" applyAlignment="1" applyProtection="1">
      <alignment horizontal="right"/>
      <protection hidden="1"/>
    </xf>
    <xf numFmtId="0" fontId="4" fillId="0" borderId="0" xfId="3" applyFont="1" applyProtection="1">
      <protection hidden="1"/>
    </xf>
    <xf numFmtId="0" fontId="18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10" fillId="6" borderId="0" xfId="0" applyFont="1" applyFill="1" applyBorder="1" applyAlignment="1" applyProtection="1">
      <alignment horizontal="left"/>
      <protection hidden="1"/>
    </xf>
    <xf numFmtId="0" fontId="10" fillId="6" borderId="0" xfId="0" applyFont="1" applyFill="1" applyBorder="1" applyProtection="1">
      <protection hidden="1"/>
    </xf>
    <xf numFmtId="0" fontId="0" fillId="2" borderId="1" xfId="0" applyFill="1" applyBorder="1" applyAlignment="1" applyProtection="1">
      <alignment shrinkToFit="1"/>
    </xf>
    <xf numFmtId="165" fontId="1" fillId="6" borderId="0" xfId="1" applyNumberFormat="1" applyFont="1" applyFill="1" applyAlignment="1" applyProtection="1">
      <alignment shrinkToFit="1"/>
      <protection hidden="1"/>
    </xf>
    <xf numFmtId="165" fontId="1" fillId="7" borderId="0" xfId="1" applyNumberFormat="1" applyFont="1" applyFill="1" applyAlignment="1" applyProtection="1">
      <alignment shrinkToFit="1"/>
      <protection hidden="1"/>
    </xf>
    <xf numFmtId="0" fontId="0" fillId="2" borderId="1" xfId="0" applyFill="1" applyBorder="1" applyAlignment="1" applyProtection="1">
      <alignment horizontal="center" shrinkToFit="1"/>
      <protection hidden="1"/>
    </xf>
    <xf numFmtId="165" fontId="0" fillId="2" borderId="1" xfId="1" applyNumberFormat="1" applyFont="1" applyFill="1" applyBorder="1" applyAlignment="1" applyProtection="1">
      <alignment shrinkToFit="1"/>
    </xf>
    <xf numFmtId="165" fontId="0" fillId="3" borderId="1" xfId="1" applyNumberFormat="1" applyFont="1" applyFill="1" applyBorder="1" applyAlignment="1" applyProtection="1">
      <alignment horizontal="right" shrinkToFit="1"/>
      <protection hidden="1"/>
    </xf>
    <xf numFmtId="165" fontId="0" fillId="3" borderId="1" xfId="1" applyNumberFormat="1" applyFont="1" applyFill="1" applyBorder="1" applyAlignment="1" applyProtection="1">
      <alignment shrinkToFit="1"/>
      <protection hidden="1"/>
    </xf>
    <xf numFmtId="165" fontId="0" fillId="3" borderId="1" xfId="0" applyNumberFormat="1" applyFill="1" applyBorder="1" applyAlignment="1" applyProtection="1">
      <alignment shrinkToFit="1"/>
      <protection hidden="1"/>
    </xf>
    <xf numFmtId="0" fontId="0" fillId="6" borderId="0" xfId="0" applyFill="1" applyProtection="1">
      <protection hidden="1"/>
    </xf>
    <xf numFmtId="0" fontId="0" fillId="7" borderId="0" xfId="0" applyFill="1" applyProtection="1">
      <protection hidden="1"/>
    </xf>
    <xf numFmtId="0" fontId="21" fillId="8" borderId="0" xfId="0" applyFont="1" applyFill="1" applyProtection="1">
      <protection hidden="1"/>
    </xf>
    <xf numFmtId="0" fontId="10" fillId="6" borderId="0" xfId="0" applyFont="1" applyFill="1" applyProtection="1"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164" fontId="4" fillId="5" borderId="13" xfId="3" applyNumberFormat="1" applyFont="1" applyFill="1" applyBorder="1" applyAlignment="1" applyProtection="1">
      <alignment horizontal="right"/>
      <protection hidden="1"/>
    </xf>
    <xf numFmtId="164" fontId="5" fillId="5" borderId="16" xfId="3" applyNumberFormat="1" applyFont="1" applyFill="1" applyBorder="1" applyAlignment="1" applyProtection="1">
      <alignment horizontal="right"/>
      <protection hidden="1"/>
    </xf>
    <xf numFmtId="3" fontId="5" fillId="5" borderId="1" xfId="3" applyNumberFormat="1" applyFont="1" applyFill="1" applyBorder="1" applyAlignment="1" applyProtection="1">
      <alignment horizontal="right"/>
      <protection hidden="1"/>
    </xf>
    <xf numFmtId="164" fontId="5" fillId="5" borderId="1" xfId="3" applyNumberFormat="1" applyFont="1" applyFill="1" applyBorder="1" applyAlignment="1" applyProtection="1">
      <alignment horizontal="right"/>
      <protection hidden="1"/>
    </xf>
    <xf numFmtId="3" fontId="4" fillId="5" borderId="28" xfId="3" applyNumberFormat="1" applyFont="1" applyFill="1" applyBorder="1" applyAlignment="1" applyProtection="1">
      <alignment horizontal="right"/>
      <protection hidden="1"/>
    </xf>
    <xf numFmtId="3" fontId="5" fillId="5" borderId="25" xfId="2" applyNumberFormat="1" applyFont="1" applyFill="1" applyBorder="1" applyAlignment="1" applyProtection="1">
      <alignment horizontal="right"/>
      <protection hidden="1"/>
    </xf>
    <xf numFmtId="3" fontId="5" fillId="5" borderId="25" xfId="3" applyNumberFormat="1" applyFont="1" applyFill="1" applyBorder="1" applyAlignment="1" applyProtection="1">
      <alignment horizontal="right"/>
      <protection hidden="1"/>
    </xf>
    <xf numFmtId="3" fontId="5" fillId="5" borderId="29" xfId="3" applyNumberFormat="1" applyFont="1" applyFill="1" applyBorder="1" applyAlignment="1" applyProtection="1">
      <alignment horizontal="right"/>
      <protection hidden="1"/>
    </xf>
    <xf numFmtId="1" fontId="5" fillId="5" borderId="25" xfId="3" applyNumberFormat="1" applyFont="1" applyFill="1" applyBorder="1" applyAlignment="1" applyProtection="1">
      <alignment horizontal="right"/>
      <protection hidden="1"/>
    </xf>
    <xf numFmtId="0" fontId="5" fillId="5" borderId="29" xfId="3" applyFont="1" applyFill="1" applyBorder="1" applyAlignment="1" applyProtection="1">
      <alignment horizontal="right"/>
      <protection hidden="1"/>
    </xf>
    <xf numFmtId="3" fontId="5" fillId="5" borderId="33" xfId="3" applyNumberFormat="1" applyFont="1" applyFill="1" applyBorder="1" applyAlignment="1" applyProtection="1">
      <alignment horizontal="right"/>
      <protection hidden="1"/>
    </xf>
    <xf numFmtId="0" fontId="7" fillId="9" borderId="4" xfId="0" applyFont="1" applyFill="1" applyBorder="1" applyAlignment="1" applyProtection="1">
      <alignment horizontal="center"/>
      <protection hidden="1"/>
    </xf>
    <xf numFmtId="0" fontId="7" fillId="9" borderId="10" xfId="0" applyFont="1" applyFill="1" applyBorder="1" applyAlignment="1" applyProtection="1">
      <alignment horizontal="center"/>
      <protection hidden="1"/>
    </xf>
    <xf numFmtId="0" fontId="7" fillId="9" borderId="1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center"/>
    </xf>
    <xf numFmtId="0" fontId="17" fillId="0" borderId="0" xfId="3" applyFont="1" applyAlignment="1" applyProtection="1">
      <protection hidden="1"/>
    </xf>
    <xf numFmtId="0" fontId="17" fillId="5" borderId="0" xfId="3" applyFont="1" applyFill="1" applyBorder="1" applyAlignment="1" applyProtection="1">
      <alignment horizontal="left"/>
      <protection hidden="1"/>
    </xf>
    <xf numFmtId="4" fontId="7" fillId="2" borderId="0" xfId="3" applyNumberFormat="1" applyFont="1" applyFill="1" applyBorder="1" applyAlignment="1" applyProtection="1">
      <alignment horizontal="center"/>
    </xf>
    <xf numFmtId="3" fontId="18" fillId="2" borderId="0" xfId="0" applyNumberFormat="1" applyFont="1" applyFill="1" applyAlignment="1" applyProtection="1">
      <alignment horizontal="center"/>
    </xf>
    <xf numFmtId="0" fontId="10" fillId="7" borderId="0" xfId="3" applyFont="1" applyFill="1" applyBorder="1" applyAlignment="1" applyProtection="1">
      <alignment horizontal="left"/>
      <protection hidden="1"/>
    </xf>
    <xf numFmtId="0" fontId="10" fillId="6" borderId="0" xfId="3" applyFont="1" applyFill="1" applyBorder="1" applyAlignment="1" applyProtection="1">
      <alignment horizontal="left"/>
      <protection hidden="1"/>
    </xf>
    <xf numFmtId="0" fontId="1" fillId="8" borderId="0" xfId="0" applyFont="1" applyFill="1" applyProtection="1">
      <protection hidden="1"/>
    </xf>
    <xf numFmtId="0" fontId="24" fillId="8" borderId="0" xfId="0" applyFont="1" applyFill="1" applyProtection="1">
      <protection hidden="1"/>
    </xf>
    <xf numFmtId="165" fontId="18" fillId="3" borderId="0" xfId="1" applyNumberFormat="1" applyFont="1" applyFill="1" applyProtection="1">
      <protection hidden="1"/>
    </xf>
    <xf numFmtId="4" fontId="18" fillId="3" borderId="0" xfId="0" applyNumberFormat="1" applyFont="1" applyFill="1" applyProtection="1">
      <protection hidden="1"/>
    </xf>
    <xf numFmtId="165" fontId="0" fillId="2" borderId="1" xfId="1" applyNumberFormat="1" applyFont="1" applyFill="1" applyBorder="1" applyProtection="1"/>
    <xf numFmtId="164" fontId="28" fillId="5" borderId="1" xfId="3" applyNumberFormat="1" applyFont="1" applyFill="1" applyBorder="1" applyAlignment="1" applyProtection="1">
      <alignment horizontal="right"/>
      <protection hidden="1"/>
    </xf>
    <xf numFmtId="0" fontId="1" fillId="9" borderId="1" xfId="0" applyFont="1" applyFill="1" applyBorder="1" applyAlignment="1" applyProtection="1">
      <alignment horizontal="center"/>
      <protection hidden="1"/>
    </xf>
    <xf numFmtId="165" fontId="1" fillId="3" borderId="1" xfId="0" applyNumberFormat="1" applyFont="1" applyFill="1" applyBorder="1" applyAlignment="1" applyProtection="1">
      <alignment horizontal="center"/>
      <protection hidden="1"/>
    </xf>
    <xf numFmtId="165" fontId="0" fillId="3" borderId="1" xfId="0" applyNumberFormat="1" applyFill="1" applyBorder="1" applyAlignment="1" applyProtection="1">
      <alignment horizontal="center"/>
      <protection hidden="1"/>
    </xf>
    <xf numFmtId="165" fontId="1" fillId="3" borderId="1" xfId="1" applyNumberFormat="1" applyFont="1" applyFill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25" fillId="9" borderId="1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165" fontId="11" fillId="3" borderId="0" xfId="1" applyNumberFormat="1" applyFont="1" applyFill="1" applyProtection="1">
      <protection hidden="1"/>
    </xf>
    <xf numFmtId="4" fontId="16" fillId="3" borderId="1" xfId="0" applyNumberFormat="1" applyFont="1" applyFill="1" applyBorder="1" applyAlignment="1" applyProtection="1">
      <alignment horizontal="right" shrinkToFit="1"/>
      <protection hidden="1"/>
    </xf>
    <xf numFmtId="4" fontId="11" fillId="4" borderId="1" xfId="0" applyNumberFormat="1" applyFont="1" applyFill="1" applyBorder="1" applyAlignment="1" applyProtection="1">
      <alignment shrinkToFit="1"/>
      <protection hidden="1"/>
    </xf>
    <xf numFmtId="43" fontId="32" fillId="3" borderId="0" xfId="0" applyNumberFormat="1" applyFont="1" applyFill="1" applyProtection="1">
      <protection hidden="1"/>
    </xf>
    <xf numFmtId="1" fontId="11" fillId="3" borderId="0" xfId="0" applyNumberFormat="1" applyFont="1" applyFill="1" applyAlignment="1" applyProtection="1">
      <protection hidden="1"/>
    </xf>
    <xf numFmtId="3" fontId="5" fillId="2" borderId="1" xfId="3" applyNumberFormat="1" applyFont="1" applyFill="1" applyBorder="1" applyAlignment="1" applyProtection="1">
      <alignment horizontal="right"/>
      <protection hidden="1"/>
    </xf>
    <xf numFmtId="3" fontId="5" fillId="2" borderId="25" xfId="2" applyNumberFormat="1" applyFont="1" applyFill="1" applyBorder="1" applyAlignment="1" applyProtection="1">
      <alignment horizontal="right"/>
      <protection hidden="1"/>
    </xf>
    <xf numFmtId="3" fontId="5" fillId="2" borderId="29" xfId="3" applyNumberFormat="1" applyFont="1" applyFill="1" applyBorder="1" applyAlignment="1" applyProtection="1">
      <alignment horizontal="right"/>
      <protection hidden="1"/>
    </xf>
    <xf numFmtId="1" fontId="5" fillId="2" borderId="25" xfId="3" applyNumberFormat="1" applyFont="1" applyFill="1" applyBorder="1" applyAlignment="1" applyProtection="1">
      <alignment horizontal="right"/>
      <protection hidden="1"/>
    </xf>
    <xf numFmtId="166" fontId="11" fillId="3" borderId="0" xfId="1" applyNumberFormat="1" applyFont="1" applyFill="1" applyAlignment="1" applyProtection="1">
      <protection hidden="1"/>
    </xf>
    <xf numFmtId="0" fontId="21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23" fillId="0" borderId="0" xfId="0" applyFont="1"/>
    <xf numFmtId="0" fontId="24" fillId="5" borderId="0" xfId="0" applyFont="1" applyFill="1" applyAlignment="1">
      <alignment horizontal="left"/>
    </xf>
    <xf numFmtId="0" fontId="23" fillId="0" borderId="0" xfId="3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4" fillId="0" borderId="0" xfId="0" applyFont="1" applyProtection="1">
      <protection hidden="1"/>
    </xf>
    <xf numFmtId="0" fontId="21" fillId="15" borderId="1" xfId="4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1" fillId="15" borderId="1" xfId="4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4" fontId="43" fillId="3" borderId="0" xfId="0" applyNumberFormat="1" applyFont="1" applyFill="1" applyAlignment="1" applyProtection="1">
      <alignment vertical="center" shrinkToFit="1"/>
      <protection hidden="1"/>
    </xf>
    <xf numFmtId="0" fontId="39" fillId="14" borderId="43" xfId="4" applyFont="1" applyFill="1" applyBorder="1" applyAlignment="1">
      <alignment horizontal="center" vertical="center" shrinkToFit="1"/>
    </xf>
    <xf numFmtId="0" fontId="40" fillId="14" borderId="43" xfId="0" applyFont="1" applyFill="1" applyBorder="1" applyAlignment="1">
      <alignment vertical="center" shrinkToFit="1"/>
    </xf>
    <xf numFmtId="0" fontId="40" fillId="14" borderId="43" xfId="4" applyFont="1" applyFill="1" applyBorder="1" applyAlignment="1">
      <alignment vertical="center" shrinkToFit="1"/>
    </xf>
    <xf numFmtId="43" fontId="40" fillId="14" borderId="43" xfId="1" applyNumberFormat="1" applyFont="1" applyFill="1" applyBorder="1" applyAlignment="1">
      <alignment vertical="center" shrinkToFit="1"/>
    </xf>
    <xf numFmtId="0" fontId="40" fillId="14" borderId="43" xfId="4" applyFont="1" applyFill="1" applyBorder="1" applyAlignment="1">
      <alignment horizontal="center" vertical="center" shrinkToFit="1"/>
    </xf>
    <xf numFmtId="0" fontId="41" fillId="12" borderId="43" xfId="4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39" fillId="10" borderId="42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9" fillId="11" borderId="0" xfId="0" applyFont="1" applyFill="1" applyBorder="1" applyAlignment="1" applyProtection="1">
      <alignment horizontal="center" shrinkToFit="1"/>
      <protection hidden="1"/>
    </xf>
    <xf numFmtId="167" fontId="39" fillId="11" borderId="0" xfId="0" applyNumberFormat="1" applyFont="1" applyFill="1" applyBorder="1" applyAlignment="1" applyProtection="1">
      <alignment horizontal="right" shrinkToFit="1"/>
      <protection hidden="1"/>
    </xf>
    <xf numFmtId="4" fontId="39" fillId="11" borderId="0" xfId="0" applyNumberFormat="1" applyFont="1" applyFill="1" applyBorder="1" applyAlignment="1" applyProtection="1">
      <alignment horizontal="right" shrinkToFit="1"/>
      <protection hidden="1"/>
    </xf>
    <xf numFmtId="4" fontId="39" fillId="11" borderId="0" xfId="1" applyNumberFormat="1" applyFont="1" applyFill="1" applyBorder="1" applyAlignment="1" applyProtection="1">
      <alignment horizontal="center" shrinkToFit="1"/>
      <protection hidden="1"/>
    </xf>
    <xf numFmtId="167" fontId="39" fillId="0" borderId="0" xfId="0" applyNumberFormat="1" applyFont="1" applyFill="1" applyBorder="1" applyAlignment="1" applyProtection="1">
      <alignment horizontal="right" vertical="center" shrinkToFit="1"/>
      <protection hidden="1"/>
    </xf>
    <xf numFmtId="168" fontId="39" fillId="0" borderId="0" xfId="0" applyNumberFormat="1" applyFont="1" applyFill="1" applyBorder="1" applyAlignment="1" applyProtection="1">
      <alignment horizontal="center" shrinkToFit="1"/>
      <protection hidden="1"/>
    </xf>
    <xf numFmtId="0" fontId="39" fillId="0" borderId="0" xfId="0" applyFont="1" applyFill="1" applyBorder="1" applyAlignment="1" applyProtection="1">
      <alignment horizontal="center" vertical="center" shrinkToFit="1"/>
      <protection hidden="1"/>
    </xf>
    <xf numFmtId="0" fontId="39" fillId="0" borderId="0" xfId="0" applyFont="1" applyFill="1" applyBorder="1" applyAlignment="1" applyProtection="1">
      <alignment vertical="center" shrinkToFit="1"/>
      <protection hidden="1"/>
    </xf>
    <xf numFmtId="0" fontId="39" fillId="11" borderId="0" xfId="0" applyFont="1" applyFill="1" applyBorder="1" applyAlignment="1" applyProtection="1">
      <alignment vertical="center" shrinkToFit="1"/>
      <protection hidden="1"/>
    </xf>
    <xf numFmtId="169" fontId="39" fillId="11" borderId="0" xfId="0" applyNumberFormat="1" applyFont="1" applyFill="1" applyBorder="1" applyAlignment="1" applyProtection="1">
      <alignment horizontal="center" vertical="center" shrinkToFit="1"/>
      <protection hidden="1"/>
    </xf>
    <xf numFmtId="169" fontId="3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Protection="1">
      <protection hidden="1"/>
    </xf>
    <xf numFmtId="0" fontId="23" fillId="13" borderId="0" xfId="0" applyFont="1" applyFill="1" applyProtection="1">
      <protection hidden="1"/>
    </xf>
    <xf numFmtId="0" fontId="38" fillId="13" borderId="0" xfId="0" applyFont="1" applyFill="1" applyProtection="1">
      <protection hidden="1"/>
    </xf>
    <xf numFmtId="0" fontId="34" fillId="13" borderId="0" xfId="0" applyFont="1" applyFill="1" applyProtection="1">
      <protection hidden="1"/>
    </xf>
    <xf numFmtId="165" fontId="23" fillId="13" borderId="0" xfId="1" applyNumberFormat="1" applyFont="1" applyFill="1" applyAlignment="1" applyProtection="1">
      <alignment horizontal="center" shrinkToFit="1"/>
      <protection hidden="1"/>
    </xf>
    <xf numFmtId="4" fontId="38" fillId="0" borderId="0" xfId="1" applyNumberFormat="1" applyFont="1" applyFill="1" applyBorder="1" applyAlignment="1" applyProtection="1">
      <alignment vertical="center" shrinkToFit="1"/>
      <protection hidden="1"/>
    </xf>
    <xf numFmtId="4" fontId="38" fillId="11" borderId="0" xfId="1" applyNumberFormat="1" applyFont="1" applyFill="1" applyBorder="1" applyAlignment="1" applyProtection="1">
      <alignment vertical="center" shrinkToFit="1"/>
      <protection hidden="1"/>
    </xf>
    <xf numFmtId="4" fontId="38" fillId="11" borderId="0" xfId="1" applyNumberFormat="1" applyFont="1" applyFill="1" applyBorder="1" applyAlignment="1" applyProtection="1">
      <alignment horizontal="center" shrinkToFit="1"/>
      <protection hidden="1"/>
    </xf>
    <xf numFmtId="0" fontId="40" fillId="11" borderId="0" xfId="0" applyFont="1" applyFill="1" applyBorder="1" applyAlignment="1" applyProtection="1">
      <alignment horizontal="left" shrinkToFit="1"/>
    </xf>
    <xf numFmtId="0" fontId="39" fillId="11" borderId="0" xfId="0" applyFont="1" applyFill="1" applyBorder="1" applyAlignment="1" applyProtection="1">
      <alignment horizontal="center" shrinkToFit="1"/>
    </xf>
    <xf numFmtId="0" fontId="40" fillId="11" borderId="0" xfId="0" applyFont="1" applyFill="1" applyBorder="1" applyAlignment="1" applyProtection="1">
      <alignment horizontal="center" shrinkToFit="1"/>
    </xf>
    <xf numFmtId="4" fontId="40" fillId="11" borderId="0" xfId="0" applyNumberFormat="1" applyFont="1" applyFill="1" applyBorder="1" applyAlignment="1" applyProtection="1">
      <alignment horizontal="center" shrinkToFit="1"/>
    </xf>
    <xf numFmtId="0" fontId="40" fillId="0" borderId="0" xfId="0" applyFont="1" applyFill="1" applyBorder="1" applyAlignment="1" applyProtection="1">
      <alignment vertical="center" shrinkToFit="1"/>
    </xf>
    <xf numFmtId="0" fontId="39" fillId="5" borderId="0" xfId="0" applyFont="1" applyFill="1" applyBorder="1" applyAlignment="1" applyProtection="1">
      <alignment horizontal="center" shrinkToFit="1"/>
    </xf>
    <xf numFmtId="0" fontId="40" fillId="5" borderId="0" xfId="0" applyFont="1" applyFill="1" applyBorder="1" applyAlignment="1" applyProtection="1">
      <alignment horizontal="center" shrinkToFit="1"/>
    </xf>
    <xf numFmtId="4" fontId="40" fillId="5" borderId="0" xfId="0" applyNumberFormat="1" applyFont="1" applyFill="1" applyBorder="1" applyAlignment="1" applyProtection="1">
      <alignment horizont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4" fontId="40" fillId="0" borderId="0" xfId="0" applyNumberFormat="1" applyFont="1" applyFill="1" applyBorder="1" applyAlignment="1" applyProtection="1">
      <alignment vertical="center" shrinkToFit="1"/>
    </xf>
    <xf numFmtId="0" fontId="40" fillId="11" borderId="0" xfId="0" applyFont="1" applyFill="1" applyBorder="1" applyAlignment="1" applyProtection="1">
      <alignment horizontal="left" vertical="center" shrinkToFit="1"/>
    </xf>
    <xf numFmtId="0" fontId="40" fillId="11" borderId="0" xfId="0" applyFont="1" applyFill="1" applyBorder="1" applyAlignment="1" applyProtection="1">
      <alignment horizontal="center" vertical="center" shrinkToFit="1"/>
    </xf>
    <xf numFmtId="4" fontId="40" fillId="11" borderId="0" xfId="0" applyNumberFormat="1" applyFont="1" applyFill="1" applyBorder="1" applyAlignment="1" applyProtection="1">
      <alignment vertical="center" shrinkToFit="1"/>
    </xf>
    <xf numFmtId="167" fontId="40" fillId="0" borderId="0" xfId="0" applyNumberFormat="1" applyFont="1" applyFill="1" applyBorder="1" applyAlignment="1" applyProtection="1">
      <alignment horizontal="right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39" fillId="11" borderId="0" xfId="0" applyFont="1" applyFill="1" applyBorder="1" applyAlignment="1" applyProtection="1">
      <alignment horizontal="center" vertical="center" shrinkToFit="1"/>
    </xf>
    <xf numFmtId="1" fontId="40" fillId="11" borderId="0" xfId="0" applyNumberFormat="1" applyFont="1" applyFill="1" applyBorder="1" applyAlignment="1" applyProtection="1">
      <alignment horizontal="center" shrinkToFit="1"/>
    </xf>
    <xf numFmtId="1" fontId="40" fillId="5" borderId="0" xfId="0" applyNumberFormat="1" applyFont="1" applyFill="1" applyBorder="1" applyAlignment="1" applyProtection="1">
      <alignment horizontal="center" shrinkToFit="1"/>
    </xf>
    <xf numFmtId="1" fontId="40" fillId="0" borderId="0" xfId="1" applyNumberFormat="1" applyFont="1" applyFill="1" applyBorder="1" applyAlignment="1" applyProtection="1">
      <alignment horizontal="center" vertical="center" shrinkToFit="1"/>
    </xf>
    <xf numFmtId="1" fontId="40" fillId="11" borderId="0" xfId="1" applyNumberFormat="1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34" fillId="0" borderId="0" xfId="0" applyFont="1" applyProtection="1">
      <protection hidden="1"/>
    </xf>
    <xf numFmtId="4" fontId="23" fillId="0" borderId="0" xfId="0" applyNumberFormat="1" applyFont="1" applyAlignment="1" applyProtection="1">
      <alignment horizontal="center" shrinkToFit="1"/>
      <protection hidden="1"/>
    </xf>
    <xf numFmtId="0" fontId="17" fillId="0" borderId="0" xfId="3" applyFont="1" applyAlignment="1" applyProtection="1">
      <alignment horizontal="right"/>
      <protection hidden="1"/>
    </xf>
    <xf numFmtId="0" fontId="12" fillId="2" borderId="1" xfId="0" applyFont="1" applyFill="1" applyBorder="1" applyAlignment="1" applyProtection="1">
      <alignment shrinkToFit="1"/>
    </xf>
    <xf numFmtId="0" fontId="12" fillId="16" borderId="1" xfId="0" applyFont="1" applyFill="1" applyBorder="1" applyAlignment="1" applyProtection="1">
      <alignment shrinkToFit="1"/>
      <protection hidden="1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alignment horizontal="left" indent="3"/>
      <protection hidden="1"/>
    </xf>
    <xf numFmtId="0" fontId="23" fillId="2" borderId="0" xfId="0" applyFont="1" applyFill="1" applyAlignment="1" applyProtection="1">
      <alignment shrinkToFit="1"/>
    </xf>
    <xf numFmtId="0" fontId="10" fillId="7" borderId="0" xfId="3" applyFont="1" applyFill="1" applyBorder="1" applyAlignment="1" applyProtection="1">
      <alignment horizontal="left"/>
      <protection hidden="1"/>
    </xf>
    <xf numFmtId="0" fontId="10" fillId="6" borderId="0" xfId="3" applyFont="1" applyFill="1" applyBorder="1" applyAlignment="1" applyProtection="1">
      <alignment horizontal="left"/>
      <protection hidden="1"/>
    </xf>
    <xf numFmtId="0" fontId="4" fillId="6" borderId="0" xfId="3" applyFont="1" applyFill="1" applyBorder="1" applyAlignment="1" applyProtection="1">
      <alignment horizontal="left"/>
      <protection hidden="1"/>
    </xf>
    <xf numFmtId="0" fontId="1" fillId="4" borderId="23" xfId="0" applyFont="1" applyFill="1" applyBorder="1" applyAlignment="1" applyProtection="1">
      <alignment horizontal="center" shrinkToFit="1"/>
      <protection hidden="1"/>
    </xf>
    <xf numFmtId="0" fontId="0" fillId="0" borderId="42" xfId="0" applyBorder="1" applyAlignment="1">
      <alignment shrinkToFit="1"/>
    </xf>
    <xf numFmtId="0" fontId="0" fillId="0" borderId="24" xfId="0" applyBorder="1" applyAlignment="1">
      <alignment shrinkToFit="1"/>
    </xf>
    <xf numFmtId="0" fontId="23" fillId="5" borderId="0" xfId="0" applyFont="1" applyFill="1" applyAlignment="1" applyProtection="1">
      <alignment shrinkToFit="1"/>
      <protection hidden="1"/>
    </xf>
    <xf numFmtId="0" fontId="26" fillId="0" borderId="1" xfId="0" applyFont="1" applyBorder="1" applyAlignment="1" applyProtection="1">
      <protection hidden="1"/>
    </xf>
    <xf numFmtId="0" fontId="27" fillId="0" borderId="1" xfId="0" applyFont="1" applyBorder="1" applyAlignment="1" applyProtection="1">
      <protection hidden="1"/>
    </xf>
    <xf numFmtId="0" fontId="1" fillId="9" borderId="23" xfId="0" applyFont="1" applyFill="1" applyBorder="1" applyAlignment="1" applyProtection="1">
      <alignment horizontal="center"/>
      <protection hidden="1"/>
    </xf>
    <xf numFmtId="0" fontId="1" fillId="9" borderId="42" xfId="0" applyFont="1" applyFill="1" applyBorder="1" applyAlignment="1" applyProtection="1">
      <alignment horizontal="center"/>
      <protection hidden="1"/>
    </xf>
    <xf numFmtId="0" fontId="1" fillId="9" borderId="24" xfId="0" applyFont="1" applyFill="1" applyBorder="1" applyAlignment="1" applyProtection="1">
      <alignment horizontal="center"/>
      <protection hidden="1"/>
    </xf>
    <xf numFmtId="0" fontId="1" fillId="9" borderId="1" xfId="0" applyFont="1" applyFill="1" applyBorder="1" applyAlignment="1" applyProtection="1">
      <alignment horizontal="center"/>
      <protection hidden="1"/>
    </xf>
    <xf numFmtId="0" fontId="1" fillId="9" borderId="1" xfId="0" applyFont="1" applyFill="1" applyBorder="1" applyAlignment="1" applyProtection="1">
      <protection hidden="1"/>
    </xf>
    <xf numFmtId="0" fontId="26" fillId="0" borderId="23" xfId="0" applyFont="1" applyBorder="1" applyAlignment="1" applyProtection="1">
      <alignment shrinkToFit="1"/>
      <protection hidden="1"/>
    </xf>
    <xf numFmtId="0" fontId="27" fillId="0" borderId="42" xfId="0" applyFont="1" applyBorder="1" applyAlignment="1" applyProtection="1">
      <alignment shrinkToFit="1"/>
      <protection hidden="1"/>
    </xf>
    <xf numFmtId="0" fontId="27" fillId="0" borderId="24" xfId="0" applyFont="1" applyBorder="1" applyAlignment="1" applyProtection="1">
      <alignment shrinkToFit="1"/>
      <protection hidden="1"/>
    </xf>
    <xf numFmtId="0" fontId="22" fillId="7" borderId="0" xfId="0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1" fillId="0" borderId="1" xfId="0" applyFont="1" applyBorder="1" applyAlignment="1" applyProtection="1">
      <protection hidden="1"/>
    </xf>
    <xf numFmtId="0" fontId="11" fillId="4" borderId="23" xfId="0" applyFont="1" applyFill="1" applyBorder="1" applyAlignment="1" applyProtection="1">
      <protection hidden="1"/>
    </xf>
    <xf numFmtId="0" fontId="12" fillId="0" borderId="24" xfId="0" applyFont="1" applyBorder="1" applyAlignment="1" applyProtection="1"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vertical="center"/>
      <protection hidden="1"/>
    </xf>
    <xf numFmtId="0" fontId="11" fillId="4" borderId="1" xfId="0" applyFont="1" applyFill="1" applyBorder="1" applyAlignment="1" applyProtection="1">
      <alignment vertical="center"/>
      <protection hidden="1"/>
    </xf>
    <xf numFmtId="0" fontId="11" fillId="4" borderId="23" xfId="0" applyFont="1" applyFill="1" applyBorder="1" applyAlignment="1" applyProtection="1">
      <alignment horizontal="center"/>
      <protection hidden="1"/>
    </xf>
    <xf numFmtId="0" fontId="12" fillId="4" borderId="24" xfId="0" applyFont="1" applyFill="1" applyBorder="1" applyAlignment="1" applyProtection="1"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11" fillId="4" borderId="1" xfId="0" applyFont="1" applyFill="1" applyBorder="1" applyAlignment="1" applyProtection="1">
      <alignment horizontal="center" shrinkToFit="1"/>
      <protection hidden="1"/>
    </xf>
    <xf numFmtId="0" fontId="29" fillId="5" borderId="0" xfId="0" applyFont="1" applyFill="1" applyAlignment="1" applyProtection="1">
      <alignment shrinkToFit="1"/>
      <protection hidden="1"/>
    </xf>
    <xf numFmtId="0" fontId="30" fillId="0" borderId="0" xfId="0" applyFont="1" applyAlignment="1" applyProtection="1">
      <alignment shrinkToFit="1"/>
      <protection hidden="1"/>
    </xf>
    <xf numFmtId="0" fontId="4" fillId="0" borderId="23" xfId="3" applyFont="1" applyBorder="1" applyAlignment="1" applyProtection="1">
      <alignment horizontal="left"/>
      <protection hidden="1"/>
    </xf>
    <xf numFmtId="0" fontId="4" fillId="0" borderId="24" xfId="3" applyFont="1" applyBorder="1" applyAlignment="1" applyProtection="1">
      <alignment horizontal="left"/>
      <protection hidden="1"/>
    </xf>
    <xf numFmtId="0" fontId="7" fillId="9" borderId="2" xfId="3" applyFont="1" applyFill="1" applyBorder="1" applyAlignment="1" applyProtection="1">
      <alignment horizontal="center" vertical="center"/>
      <protection hidden="1"/>
    </xf>
    <xf numFmtId="0" fontId="7" fillId="9" borderId="3" xfId="3" applyFont="1" applyFill="1" applyBorder="1" applyAlignment="1" applyProtection="1">
      <alignment horizontal="center" vertical="center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7" fillId="9" borderId="9" xfId="0" applyFont="1" applyFill="1" applyBorder="1" applyAlignment="1" applyProtection="1">
      <alignment horizontal="center" vertical="center"/>
      <protection hidden="1"/>
    </xf>
    <xf numFmtId="0" fontId="7" fillId="9" borderId="5" xfId="0" applyFont="1" applyFill="1" applyBorder="1" applyAlignment="1" applyProtection="1">
      <alignment horizontal="center"/>
      <protection hidden="1"/>
    </xf>
    <xf numFmtId="0" fontId="7" fillId="9" borderId="6" xfId="0" applyFont="1" applyFill="1" applyBorder="1" applyAlignment="1" applyProtection="1">
      <alignment horizontal="center"/>
      <protection hidden="1"/>
    </xf>
    <xf numFmtId="0" fontId="7" fillId="9" borderId="7" xfId="0" applyFont="1" applyFill="1" applyBorder="1" applyAlignment="1" applyProtection="1">
      <alignment horizontal="center"/>
      <protection hidden="1"/>
    </xf>
    <xf numFmtId="0" fontId="10" fillId="0" borderId="11" xfId="3" applyFont="1" applyBorder="1" applyAlignment="1" applyProtection="1">
      <alignment horizontal="left" vertical="center"/>
      <protection hidden="1"/>
    </xf>
    <xf numFmtId="0" fontId="10" fillId="0" borderId="12" xfId="3" applyFont="1" applyBorder="1" applyAlignment="1" applyProtection="1">
      <alignment horizontal="left" vertical="center"/>
      <protection hidden="1"/>
    </xf>
    <xf numFmtId="0" fontId="4" fillId="0" borderId="14" xfId="3" applyFont="1" applyBorder="1" applyAlignment="1" applyProtection="1">
      <alignment horizontal="left"/>
      <protection hidden="1"/>
    </xf>
    <xf numFmtId="0" fontId="4" fillId="0" borderId="15" xfId="3" applyFont="1" applyBorder="1" applyAlignment="1" applyProtection="1">
      <alignment horizontal="left"/>
      <protection hidden="1"/>
    </xf>
    <xf numFmtId="0" fontId="9" fillId="0" borderId="17" xfId="3" applyFont="1" applyBorder="1" applyAlignment="1" applyProtection="1">
      <alignment horizontal="left"/>
      <protection hidden="1"/>
    </xf>
    <xf numFmtId="0" fontId="9" fillId="0" borderId="18" xfId="3" applyFont="1" applyBorder="1" applyAlignment="1" applyProtection="1">
      <alignment horizontal="left"/>
      <protection hidden="1"/>
    </xf>
    <xf numFmtId="0" fontId="9" fillId="0" borderId="19" xfId="3" applyFont="1" applyBorder="1" applyAlignment="1" applyProtection="1">
      <alignment horizontal="left"/>
      <protection hidden="1"/>
    </xf>
    <xf numFmtId="0" fontId="9" fillId="0" borderId="20" xfId="3" applyFont="1" applyBorder="1" applyAlignment="1" applyProtection="1">
      <alignment horizontal="left"/>
      <protection hidden="1"/>
    </xf>
    <xf numFmtId="0" fontId="9" fillId="0" borderId="21" xfId="3" applyFont="1" applyBorder="1" applyAlignment="1" applyProtection="1">
      <alignment horizontal="left"/>
      <protection hidden="1"/>
    </xf>
    <xf numFmtId="0" fontId="9" fillId="0" borderId="22" xfId="3" applyFont="1" applyBorder="1" applyAlignment="1" applyProtection="1">
      <alignment horizontal="left"/>
      <protection hidden="1"/>
    </xf>
    <xf numFmtId="0" fontId="9" fillId="0" borderId="23" xfId="3" applyFont="1" applyBorder="1" applyAlignment="1" applyProtection="1">
      <alignment horizontal="left"/>
      <protection hidden="1"/>
    </xf>
    <xf numFmtId="0" fontId="9" fillId="0" borderId="24" xfId="3" applyFont="1" applyBorder="1" applyAlignment="1" applyProtection="1">
      <alignment horizontal="left"/>
      <protection hidden="1"/>
    </xf>
    <xf numFmtId="0" fontId="4" fillId="0" borderId="34" xfId="3" applyFont="1" applyBorder="1" applyAlignment="1" applyProtection="1">
      <alignment horizontal="left"/>
      <protection hidden="1"/>
    </xf>
    <xf numFmtId="0" fontId="4" fillId="0" borderId="35" xfId="3" applyFont="1" applyBorder="1" applyAlignment="1" applyProtection="1">
      <alignment horizontal="left"/>
      <protection hidden="1"/>
    </xf>
    <xf numFmtId="0" fontId="10" fillId="0" borderId="23" xfId="3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4" fillId="0" borderId="32" xfId="3" applyFont="1" applyBorder="1" applyAlignment="1" applyProtection="1">
      <protection hidden="1"/>
    </xf>
    <xf numFmtId="0" fontId="4" fillId="0" borderId="0" xfId="3" applyFont="1" applyBorder="1" applyAlignment="1" applyProtection="1">
      <protection hidden="1"/>
    </xf>
    <xf numFmtId="0" fontId="9" fillId="0" borderId="1" xfId="3" applyFont="1" applyBorder="1" applyAlignment="1" applyProtection="1">
      <alignment horizontal="left"/>
      <protection hidden="1"/>
    </xf>
    <xf numFmtId="0" fontId="10" fillId="0" borderId="26" xfId="3" applyFont="1" applyBorder="1" applyAlignment="1" applyProtection="1">
      <alignment horizontal="left"/>
      <protection hidden="1"/>
    </xf>
    <xf numFmtId="0" fontId="10" fillId="0" borderId="27" xfId="3" applyFont="1" applyBorder="1" applyAlignment="1" applyProtection="1">
      <alignment horizontal="left"/>
      <protection hidden="1"/>
    </xf>
    <xf numFmtId="0" fontId="5" fillId="0" borderId="25" xfId="3" applyFont="1" applyBorder="1" applyAlignment="1" applyProtection="1">
      <alignment horizontal="left"/>
      <protection hidden="1"/>
    </xf>
    <xf numFmtId="0" fontId="5" fillId="0" borderId="29" xfId="3" applyFont="1" applyBorder="1" applyAlignment="1" applyProtection="1">
      <alignment horizontal="left"/>
      <protection hidden="1"/>
    </xf>
    <xf numFmtId="0" fontId="10" fillId="0" borderId="26" xfId="3" applyFont="1" applyBorder="1" applyAlignment="1" applyProtection="1">
      <alignment horizontal="center"/>
      <protection hidden="1"/>
    </xf>
    <xf numFmtId="0" fontId="10" fillId="0" borderId="27" xfId="3" applyFont="1" applyBorder="1" applyAlignment="1" applyProtection="1">
      <alignment horizontal="center"/>
      <protection hidden="1"/>
    </xf>
    <xf numFmtId="0" fontId="4" fillId="0" borderId="25" xfId="3" applyFont="1" applyBorder="1" applyAlignment="1" applyProtection="1">
      <alignment horizontal="left"/>
      <protection hidden="1"/>
    </xf>
    <xf numFmtId="0" fontId="4" fillId="9" borderId="30" xfId="3" applyFont="1" applyFill="1" applyBorder="1" applyAlignment="1" applyProtection="1">
      <alignment horizontal="center"/>
      <protection hidden="1"/>
    </xf>
    <xf numFmtId="0" fontId="4" fillId="9" borderId="31" xfId="3" applyFont="1" applyFill="1" applyBorder="1" applyAlignment="1" applyProtection="1">
      <alignment horizontal="center"/>
      <protection hidden="1"/>
    </xf>
    <xf numFmtId="0" fontId="17" fillId="5" borderId="0" xfId="3" applyFont="1" applyFill="1" applyBorder="1" applyAlignment="1" applyProtection="1">
      <alignment horizontal="left" shrinkToFit="1"/>
      <protection hidden="1"/>
    </xf>
    <xf numFmtId="0" fontId="7" fillId="4" borderId="2" xfId="3" applyFont="1" applyFill="1" applyBorder="1" applyAlignment="1" applyProtection="1">
      <alignment horizontal="center" vertical="center"/>
      <protection hidden="1"/>
    </xf>
    <xf numFmtId="0" fontId="7" fillId="4" borderId="3" xfId="3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4" fillId="4" borderId="30" xfId="3" applyFont="1" applyFill="1" applyBorder="1" applyAlignment="1" applyProtection="1">
      <alignment horizontal="center"/>
      <protection hidden="1"/>
    </xf>
    <xf numFmtId="0" fontId="4" fillId="4" borderId="31" xfId="3" applyFont="1" applyFill="1" applyBorder="1" applyAlignment="1" applyProtection="1">
      <alignment horizontal="center"/>
      <protection hidden="1"/>
    </xf>
  </cellXfs>
  <cellStyles count="5">
    <cellStyle name="Normal_form-re3Oct" xfId="3"/>
    <cellStyle name="เครื่องหมายจุลภาค" xfId="1" builtinId="3"/>
    <cellStyle name="ปกติ" xfId="0" builtinId="0"/>
    <cellStyle name="ปกติ_Sheet1" xfId="4"/>
    <cellStyle name="เปอร์เซ็นต์" xfId="2" builtinId="5"/>
  </cellStyles>
  <dxfs count="0"/>
  <tableStyles count="0" defaultTableStyle="TableStyleMedium9" defaultPivotStyle="PivotStyleLight16"/>
  <colors>
    <mruColors>
      <color rgb="FFFFCCCC"/>
      <color rgb="FFFF99FF"/>
      <color rgb="FFFFFF99"/>
      <color rgb="FF000099"/>
      <color rgb="FFFFFFCC"/>
      <color rgb="FFCCE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1\3-&#3619;&#3623;&#3617;&#3650;&#3611;&#3619;&#3649;&#3585;&#3619;&#3617;\9-&#3650;&#3611;&#3619;&#3649;&#3585;&#3619;&#3617;&#3588;&#3656;&#3634;&#3651;&#3594;&#3657;&#3592;&#3656;&#3634;&#3618;&#3605;&#3656;&#3629;&#3627;&#3633;&#3623;\&#3650;&#3611;&#3619;&#3649;&#3585;&#3619;&#3617;&#3588;&#3635;&#3609;&#3623;&#3603;UnitCost\&#3650;&#3611;&#3619;&#3649;&#3585;&#3619;&#3617;&#3588;&#3635;&#3609;&#3623;&#3603;&#3588;&#3656;&#3634;&#3648;&#3626;&#3639;&#3656;&#3629;&#3617;&#3619;&#3634;&#3588;&#36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epart"/>
      <sheetName val="CC1"/>
      <sheetName val="CC2"/>
      <sheetName val="LC"/>
      <sheetName val="OC1"/>
      <sheetName val="Matrix"/>
      <sheetName val="Stock"/>
    </sheetNames>
    <sheetDataSet>
      <sheetData sheetId="0"/>
      <sheetData sheetId="1">
        <row r="7">
          <cell r="B7" t="str">
            <v>งานชันสูตรฯ</v>
          </cell>
        </row>
        <row r="8">
          <cell r="B8" t="str">
            <v>งานซ่อมบำรุ่ง</v>
          </cell>
        </row>
        <row r="9">
          <cell r="B9" t="str">
            <v>งานบริหาร</v>
          </cell>
        </row>
        <row r="10">
          <cell r="B10" t="str">
            <v>งานยานพาหนะ</v>
          </cell>
        </row>
        <row r="11">
          <cell r="B11" t="str">
            <v>งานเวชระเบียน</v>
          </cell>
        </row>
        <row r="12">
          <cell r="B12" t="str">
            <v>งานจ่ายกลาง</v>
          </cell>
        </row>
        <row r="13">
          <cell r="B13" t="str">
            <v>งานเภสัชกรรม</v>
          </cell>
        </row>
        <row r="14">
          <cell r="B14" t="str">
            <v>งานบริการผู้ป่วยนอก</v>
          </cell>
        </row>
        <row r="15">
          <cell r="B15" t="str">
            <v>งานบริการผู้ป่วยใน</v>
          </cell>
        </row>
        <row r="16">
          <cell r="B16" t="str">
            <v>งานทันตกรรม</v>
          </cell>
        </row>
        <row r="17">
          <cell r="B17" t="str">
            <v>งานรังสีวินิจฉัย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opLeftCell="A86" zoomScale="90" zoomScaleNormal="90" workbookViewId="0">
      <selection activeCell="G13" sqref="G13"/>
    </sheetView>
  </sheetViews>
  <sheetFormatPr defaultColWidth="9.140625" defaultRowHeight="23.25"/>
  <cols>
    <col min="1" max="1" width="3.85546875" style="58" customWidth="1"/>
    <col min="2" max="2" width="23.5703125" style="58" customWidth="1"/>
    <col min="3" max="3" width="17.140625" style="58" customWidth="1"/>
    <col min="4" max="4" width="12.28515625" style="58" customWidth="1"/>
    <col min="5" max="5" width="12.85546875" style="58" customWidth="1"/>
    <col min="6" max="6" width="13.5703125" style="58" customWidth="1"/>
    <col min="7" max="7" width="16.7109375" style="58" customWidth="1"/>
    <col min="8" max="8" width="14.85546875" style="58" customWidth="1"/>
    <col min="9" max="9" width="13.42578125" style="58" customWidth="1"/>
    <col min="10" max="10" width="14.42578125" style="58" customWidth="1"/>
    <col min="11" max="11" width="18.28515625" style="58" customWidth="1"/>
    <col min="12" max="16384" width="9.140625" style="58"/>
  </cols>
  <sheetData>
    <row r="1" spans="1:10" ht="29.25">
      <c r="B1" s="75" t="s">
        <v>211</v>
      </c>
      <c r="E1" s="205" t="s">
        <v>212</v>
      </c>
      <c r="F1" s="205"/>
      <c r="G1" s="124" t="s">
        <v>210</v>
      </c>
      <c r="H1" s="198" t="s">
        <v>125</v>
      </c>
      <c r="I1" s="198"/>
      <c r="J1" s="198"/>
    </row>
    <row r="2" spans="1:10" ht="29.25">
      <c r="A2" s="56" t="s">
        <v>114</v>
      </c>
      <c r="B2" s="57"/>
      <c r="D2" s="90" t="s">
        <v>126</v>
      </c>
      <c r="E2" s="91">
        <v>2559</v>
      </c>
      <c r="G2" s="90" t="s">
        <v>61</v>
      </c>
      <c r="H2" s="198" t="s">
        <v>214</v>
      </c>
      <c r="I2" s="198"/>
      <c r="J2" s="198"/>
    </row>
    <row r="3" spans="1:10">
      <c r="B3" s="71" t="s">
        <v>115</v>
      </c>
    </row>
    <row r="4" spans="1:10" ht="69.75" customHeight="1">
      <c r="A4" s="110" t="s">
        <v>0</v>
      </c>
      <c r="B4" s="110" t="s">
        <v>96</v>
      </c>
      <c r="C4" s="110" t="s">
        <v>97</v>
      </c>
      <c r="D4" s="110" t="s">
        <v>98</v>
      </c>
      <c r="E4" s="111" t="s">
        <v>99</v>
      </c>
      <c r="F4" s="111" t="s">
        <v>100</v>
      </c>
      <c r="G4" s="110" t="s">
        <v>110</v>
      </c>
      <c r="H4" s="111" t="s">
        <v>111</v>
      </c>
      <c r="I4" s="111" t="s">
        <v>112</v>
      </c>
      <c r="J4" s="110" t="s">
        <v>101</v>
      </c>
    </row>
    <row r="5" spans="1:10">
      <c r="A5" s="64">
        <v>1</v>
      </c>
      <c r="B5" s="61" t="s">
        <v>180</v>
      </c>
      <c r="C5" s="61" t="s">
        <v>102</v>
      </c>
      <c r="D5" s="65">
        <v>45600</v>
      </c>
      <c r="E5" s="65">
        <v>0</v>
      </c>
      <c r="F5" s="65">
        <v>12000</v>
      </c>
      <c r="G5" s="66">
        <f>IF(D5=" ", "0", D5*12)</f>
        <v>547200</v>
      </c>
      <c r="H5" s="66">
        <f>IF(E5=" ", "0", E5*12)</f>
        <v>0</v>
      </c>
      <c r="I5" s="66">
        <f>IF(F5=" ", "0", F5*12)</f>
        <v>144000</v>
      </c>
      <c r="J5" s="67">
        <f>SUM(D5:F5)*12</f>
        <v>691200</v>
      </c>
    </row>
    <row r="6" spans="1:10">
      <c r="A6" s="64">
        <v>2</v>
      </c>
      <c r="B6" s="61" t="s">
        <v>181</v>
      </c>
      <c r="C6" s="61" t="s">
        <v>102</v>
      </c>
      <c r="D6" s="65">
        <v>54000</v>
      </c>
      <c r="E6" s="65">
        <v>1200</v>
      </c>
      <c r="F6" s="65">
        <v>24000</v>
      </c>
      <c r="G6" s="66">
        <f t="shared" ref="G6:G24" si="0">IF(D6=" ", "0", D6*12)</f>
        <v>648000</v>
      </c>
      <c r="H6" s="66">
        <f t="shared" ref="H6:H24" si="1">IF(E6=" ", "0", E6*12)</f>
        <v>14400</v>
      </c>
      <c r="I6" s="66">
        <f t="shared" ref="I6:I24" si="2">IF(F6=" ", "0", F6*12)</f>
        <v>288000</v>
      </c>
      <c r="J6" s="67">
        <f t="shared" ref="J6:J24" si="3">SUM(D6:F6)*12</f>
        <v>950400</v>
      </c>
    </row>
    <row r="7" spans="1:10">
      <c r="A7" s="64">
        <v>3</v>
      </c>
      <c r="B7" s="61" t="s">
        <v>182</v>
      </c>
      <c r="C7" s="61" t="s">
        <v>103</v>
      </c>
      <c r="D7" s="65">
        <v>25000</v>
      </c>
      <c r="E7" s="65">
        <v>0</v>
      </c>
      <c r="F7" s="65">
        <v>12000</v>
      </c>
      <c r="G7" s="66">
        <f t="shared" si="0"/>
        <v>300000</v>
      </c>
      <c r="H7" s="66">
        <f t="shared" si="1"/>
        <v>0</v>
      </c>
      <c r="I7" s="66">
        <f t="shared" si="2"/>
        <v>144000</v>
      </c>
      <c r="J7" s="67">
        <f t="shared" si="3"/>
        <v>444000</v>
      </c>
    </row>
    <row r="8" spans="1:10">
      <c r="A8" s="64">
        <v>4</v>
      </c>
      <c r="B8" s="61" t="s">
        <v>183</v>
      </c>
      <c r="C8" s="61" t="s">
        <v>103</v>
      </c>
      <c r="D8" s="65">
        <v>20000</v>
      </c>
      <c r="E8" s="65">
        <v>0</v>
      </c>
      <c r="F8" s="65">
        <v>0</v>
      </c>
      <c r="G8" s="66">
        <f t="shared" si="0"/>
        <v>240000</v>
      </c>
      <c r="H8" s="66">
        <f t="shared" si="1"/>
        <v>0</v>
      </c>
      <c r="I8" s="66">
        <f t="shared" si="2"/>
        <v>0</v>
      </c>
      <c r="J8" s="67">
        <f t="shared" si="3"/>
        <v>240000</v>
      </c>
    </row>
    <row r="9" spans="1:10">
      <c r="A9" s="64">
        <v>5</v>
      </c>
      <c r="B9" s="61" t="s">
        <v>184</v>
      </c>
      <c r="C9" s="61" t="s">
        <v>107</v>
      </c>
      <c r="D9" s="65">
        <v>15000</v>
      </c>
      <c r="E9" s="65">
        <v>0</v>
      </c>
      <c r="F9" s="65">
        <v>0</v>
      </c>
      <c r="G9" s="66">
        <f t="shared" si="0"/>
        <v>180000</v>
      </c>
      <c r="H9" s="66">
        <f t="shared" si="1"/>
        <v>0</v>
      </c>
      <c r="I9" s="66">
        <f t="shared" si="2"/>
        <v>0</v>
      </c>
      <c r="J9" s="67">
        <f t="shared" si="3"/>
        <v>180000</v>
      </c>
    </row>
    <row r="10" spans="1:10">
      <c r="A10" s="64">
        <v>6</v>
      </c>
      <c r="B10" s="61" t="s">
        <v>2</v>
      </c>
      <c r="C10" s="61"/>
      <c r="D10" s="65" t="s">
        <v>2</v>
      </c>
      <c r="E10" s="65" t="s">
        <v>2</v>
      </c>
      <c r="F10" s="65" t="s">
        <v>2</v>
      </c>
      <c r="G10" s="66" t="str">
        <f t="shared" si="0"/>
        <v>0</v>
      </c>
      <c r="H10" s="66" t="str">
        <f t="shared" si="1"/>
        <v>0</v>
      </c>
      <c r="I10" s="66" t="str">
        <f t="shared" si="2"/>
        <v>0</v>
      </c>
      <c r="J10" s="67">
        <f t="shared" si="3"/>
        <v>0</v>
      </c>
    </row>
    <row r="11" spans="1:10">
      <c r="A11" s="64">
        <v>7</v>
      </c>
      <c r="B11" s="61" t="s">
        <v>2</v>
      </c>
      <c r="C11" s="61"/>
      <c r="D11" s="65" t="s">
        <v>2</v>
      </c>
      <c r="E11" s="65" t="s">
        <v>2</v>
      </c>
      <c r="F11" s="65" t="s">
        <v>2</v>
      </c>
      <c r="G11" s="66" t="str">
        <f t="shared" si="0"/>
        <v>0</v>
      </c>
      <c r="H11" s="66" t="str">
        <f t="shared" si="1"/>
        <v>0</v>
      </c>
      <c r="I11" s="66" t="str">
        <f t="shared" si="2"/>
        <v>0</v>
      </c>
      <c r="J11" s="67">
        <f t="shared" ref="J11:J20" si="4">SUM(D11:F11)*12</f>
        <v>0</v>
      </c>
    </row>
    <row r="12" spans="1:10">
      <c r="A12" s="64">
        <v>8</v>
      </c>
      <c r="B12" s="61"/>
      <c r="C12" s="61"/>
      <c r="D12" s="65" t="s">
        <v>2</v>
      </c>
      <c r="E12" s="65"/>
      <c r="F12" s="65" t="s">
        <v>2</v>
      </c>
      <c r="G12" s="66" t="str">
        <f t="shared" si="0"/>
        <v>0</v>
      </c>
      <c r="H12" s="66">
        <f t="shared" si="1"/>
        <v>0</v>
      </c>
      <c r="I12" s="66" t="str">
        <f t="shared" si="2"/>
        <v>0</v>
      </c>
      <c r="J12" s="67">
        <f t="shared" si="4"/>
        <v>0</v>
      </c>
    </row>
    <row r="13" spans="1:10">
      <c r="A13" s="64">
        <v>9</v>
      </c>
      <c r="B13" s="61"/>
      <c r="C13" s="61"/>
      <c r="D13" s="65" t="s">
        <v>2</v>
      </c>
      <c r="E13" s="65"/>
      <c r="F13" s="65"/>
      <c r="G13" s="66" t="str">
        <f t="shared" si="0"/>
        <v>0</v>
      </c>
      <c r="H13" s="66">
        <f t="shared" si="1"/>
        <v>0</v>
      </c>
      <c r="I13" s="66">
        <f t="shared" si="2"/>
        <v>0</v>
      </c>
      <c r="J13" s="67">
        <f t="shared" si="4"/>
        <v>0</v>
      </c>
    </row>
    <row r="14" spans="1:10">
      <c r="A14" s="64">
        <v>10</v>
      </c>
      <c r="B14" s="61"/>
      <c r="C14" s="61"/>
      <c r="D14" s="65" t="s">
        <v>2</v>
      </c>
      <c r="E14" s="65"/>
      <c r="F14" s="65"/>
      <c r="G14" s="66" t="str">
        <f t="shared" si="0"/>
        <v>0</v>
      </c>
      <c r="H14" s="66">
        <f t="shared" si="1"/>
        <v>0</v>
      </c>
      <c r="I14" s="66">
        <f t="shared" si="2"/>
        <v>0</v>
      </c>
      <c r="J14" s="67">
        <f t="shared" si="4"/>
        <v>0</v>
      </c>
    </row>
    <row r="15" spans="1:10">
      <c r="A15" s="64">
        <v>11</v>
      </c>
      <c r="B15" s="61"/>
      <c r="C15" s="61"/>
      <c r="D15" s="65" t="s">
        <v>2</v>
      </c>
      <c r="E15" s="65"/>
      <c r="F15" s="65"/>
      <c r="G15" s="66" t="str">
        <f t="shared" si="0"/>
        <v>0</v>
      </c>
      <c r="H15" s="66">
        <f t="shared" si="1"/>
        <v>0</v>
      </c>
      <c r="I15" s="66">
        <f t="shared" si="2"/>
        <v>0</v>
      </c>
      <c r="J15" s="67">
        <f t="shared" si="4"/>
        <v>0</v>
      </c>
    </row>
    <row r="16" spans="1:10">
      <c r="A16" s="64">
        <v>12</v>
      </c>
      <c r="B16" s="61"/>
      <c r="C16" s="61"/>
      <c r="D16" s="65" t="s">
        <v>2</v>
      </c>
      <c r="E16" s="65"/>
      <c r="F16" s="65"/>
      <c r="G16" s="66" t="str">
        <f t="shared" si="0"/>
        <v>0</v>
      </c>
      <c r="H16" s="66">
        <f t="shared" si="1"/>
        <v>0</v>
      </c>
      <c r="I16" s="66">
        <f t="shared" si="2"/>
        <v>0</v>
      </c>
      <c r="J16" s="67">
        <f t="shared" si="4"/>
        <v>0</v>
      </c>
    </row>
    <row r="17" spans="1:10">
      <c r="A17" s="64">
        <v>13</v>
      </c>
      <c r="B17" s="61"/>
      <c r="C17" s="61"/>
      <c r="D17" s="65" t="s">
        <v>2</v>
      </c>
      <c r="E17" s="65"/>
      <c r="F17" s="65"/>
      <c r="G17" s="66" t="str">
        <f t="shared" si="0"/>
        <v>0</v>
      </c>
      <c r="H17" s="66">
        <f t="shared" si="1"/>
        <v>0</v>
      </c>
      <c r="I17" s="66">
        <f t="shared" si="2"/>
        <v>0</v>
      </c>
      <c r="J17" s="67">
        <f t="shared" si="4"/>
        <v>0</v>
      </c>
    </row>
    <row r="18" spans="1:10">
      <c r="A18" s="64">
        <v>14</v>
      </c>
      <c r="B18" s="61"/>
      <c r="C18" s="61"/>
      <c r="D18" s="65" t="s">
        <v>2</v>
      </c>
      <c r="E18" s="65"/>
      <c r="F18" s="65"/>
      <c r="G18" s="66" t="str">
        <f t="shared" si="0"/>
        <v>0</v>
      </c>
      <c r="H18" s="66">
        <f t="shared" si="1"/>
        <v>0</v>
      </c>
      <c r="I18" s="66">
        <f t="shared" si="2"/>
        <v>0</v>
      </c>
      <c r="J18" s="67">
        <f t="shared" si="4"/>
        <v>0</v>
      </c>
    </row>
    <row r="19" spans="1:10">
      <c r="A19" s="64">
        <v>15</v>
      </c>
      <c r="B19" s="61"/>
      <c r="C19" s="61"/>
      <c r="D19" s="65" t="s">
        <v>2</v>
      </c>
      <c r="E19" s="65"/>
      <c r="F19" s="65"/>
      <c r="G19" s="66" t="str">
        <f t="shared" si="0"/>
        <v>0</v>
      </c>
      <c r="H19" s="66">
        <f t="shared" si="1"/>
        <v>0</v>
      </c>
      <c r="I19" s="66">
        <f t="shared" si="2"/>
        <v>0</v>
      </c>
      <c r="J19" s="67">
        <f t="shared" si="4"/>
        <v>0</v>
      </c>
    </row>
    <row r="20" spans="1:10">
      <c r="A20" s="64">
        <v>16</v>
      </c>
      <c r="B20" s="61"/>
      <c r="C20" s="61"/>
      <c r="D20" s="65" t="s">
        <v>2</v>
      </c>
      <c r="E20" s="65"/>
      <c r="F20" s="65"/>
      <c r="G20" s="66" t="str">
        <f t="shared" si="0"/>
        <v>0</v>
      </c>
      <c r="H20" s="66">
        <f t="shared" si="1"/>
        <v>0</v>
      </c>
      <c r="I20" s="66">
        <f t="shared" si="2"/>
        <v>0</v>
      </c>
      <c r="J20" s="67">
        <f t="shared" si="4"/>
        <v>0</v>
      </c>
    </row>
    <row r="21" spans="1:10">
      <c r="A21" s="64">
        <v>17</v>
      </c>
      <c r="B21" s="61"/>
      <c r="C21" s="61"/>
      <c r="D21" s="65" t="s">
        <v>2</v>
      </c>
      <c r="E21" s="65"/>
      <c r="F21" s="65"/>
      <c r="G21" s="66" t="str">
        <f t="shared" si="0"/>
        <v>0</v>
      </c>
      <c r="H21" s="66">
        <f t="shared" si="1"/>
        <v>0</v>
      </c>
      <c r="I21" s="66">
        <f t="shared" si="2"/>
        <v>0</v>
      </c>
      <c r="J21" s="67">
        <f t="shared" si="3"/>
        <v>0</v>
      </c>
    </row>
    <row r="22" spans="1:10">
      <c r="A22" s="64">
        <v>18</v>
      </c>
      <c r="B22" s="61"/>
      <c r="C22" s="61"/>
      <c r="D22" s="65" t="s">
        <v>2</v>
      </c>
      <c r="E22" s="65"/>
      <c r="F22" s="65"/>
      <c r="G22" s="66" t="str">
        <f t="shared" si="0"/>
        <v>0</v>
      </c>
      <c r="H22" s="66">
        <f t="shared" si="1"/>
        <v>0</v>
      </c>
      <c r="I22" s="66">
        <f t="shared" si="2"/>
        <v>0</v>
      </c>
      <c r="J22" s="67">
        <f t="shared" si="3"/>
        <v>0</v>
      </c>
    </row>
    <row r="23" spans="1:10">
      <c r="A23" s="64">
        <v>19</v>
      </c>
      <c r="B23" s="61"/>
      <c r="C23" s="61"/>
      <c r="D23" s="65" t="s">
        <v>2</v>
      </c>
      <c r="E23" s="65"/>
      <c r="F23" s="65"/>
      <c r="G23" s="66" t="str">
        <f t="shared" si="0"/>
        <v>0</v>
      </c>
      <c r="H23" s="66">
        <f t="shared" si="1"/>
        <v>0</v>
      </c>
      <c r="I23" s="66">
        <f t="shared" si="2"/>
        <v>0</v>
      </c>
      <c r="J23" s="67">
        <f t="shared" si="3"/>
        <v>0</v>
      </c>
    </row>
    <row r="24" spans="1:10">
      <c r="A24" s="64">
        <v>20</v>
      </c>
      <c r="B24" s="61"/>
      <c r="C24" s="61"/>
      <c r="D24" s="65" t="s">
        <v>2</v>
      </c>
      <c r="E24" s="65"/>
      <c r="F24" s="65"/>
      <c r="G24" s="66" t="str">
        <f t="shared" si="0"/>
        <v>0</v>
      </c>
      <c r="H24" s="66">
        <f t="shared" si="1"/>
        <v>0</v>
      </c>
      <c r="I24" s="66">
        <f t="shared" si="2"/>
        <v>0</v>
      </c>
      <c r="J24" s="67">
        <f t="shared" si="3"/>
        <v>0</v>
      </c>
    </row>
    <row r="25" spans="1:10">
      <c r="A25" s="202" t="s">
        <v>1</v>
      </c>
      <c r="B25" s="203"/>
      <c r="C25" s="204"/>
      <c r="D25" s="68">
        <f>SUM(D5:D24)</f>
        <v>159600</v>
      </c>
      <c r="E25" s="68">
        <f t="shared" ref="E25:J25" si="5">SUM(E5:E24)</f>
        <v>1200</v>
      </c>
      <c r="F25" s="68">
        <f t="shared" si="5"/>
        <v>48000</v>
      </c>
      <c r="G25" s="68">
        <f t="shared" si="5"/>
        <v>1915200</v>
      </c>
      <c r="H25" s="68">
        <f>SUM(H5:H24)</f>
        <v>14400</v>
      </c>
      <c r="I25" s="68">
        <f>SUM(I5:I24)</f>
        <v>576000</v>
      </c>
      <c r="J25" s="68">
        <f t="shared" si="5"/>
        <v>2505600</v>
      </c>
    </row>
    <row r="27" spans="1:10" hidden="1">
      <c r="B27" s="59" t="s">
        <v>105</v>
      </c>
      <c r="C27" s="60"/>
      <c r="D27" s="62">
        <f>SUMIF(C5:C24,"ข้าราชการ",G5:G24)</f>
        <v>1195200</v>
      </c>
    </row>
    <row r="28" spans="1:10" hidden="1">
      <c r="B28" s="199" t="s">
        <v>106</v>
      </c>
      <c r="C28" s="199"/>
      <c r="D28" s="63">
        <f>SUMIF(C5:C24,"พนักงานมหาวิทยาลัย",G5:G24)</f>
        <v>540000</v>
      </c>
    </row>
    <row r="29" spans="1:10" hidden="1">
      <c r="B29" s="200" t="s">
        <v>107</v>
      </c>
      <c r="C29" s="200"/>
      <c r="D29" s="62">
        <f>SUMIF(C5:C24,"ค่าจ้างประจำ",G5:G24)</f>
        <v>180000</v>
      </c>
    </row>
    <row r="30" spans="1:10" hidden="1">
      <c r="B30" s="199" t="s">
        <v>108</v>
      </c>
      <c r="C30" s="199"/>
      <c r="D30" s="63">
        <f>SUMIF(C5:C24,"ค่าจ้างชั่วคราว",G5:G24)</f>
        <v>0</v>
      </c>
    </row>
    <row r="31" spans="1:10" hidden="1">
      <c r="B31" s="201" t="s">
        <v>113</v>
      </c>
      <c r="C31" s="201"/>
      <c r="D31" s="62">
        <f>H25</f>
        <v>14400</v>
      </c>
    </row>
    <row r="32" spans="1:10" hidden="1">
      <c r="B32" s="199" t="s">
        <v>109</v>
      </c>
      <c r="C32" s="199"/>
      <c r="D32" s="63">
        <f>I25</f>
        <v>576000</v>
      </c>
    </row>
    <row r="33" spans="1:9" hidden="1"/>
    <row r="34" spans="1:9" hidden="1">
      <c r="B34" s="71" t="s">
        <v>116</v>
      </c>
      <c r="F34" s="71" t="s">
        <v>117</v>
      </c>
      <c r="G34" s="57"/>
    </row>
    <row r="35" spans="1:9" ht="26.25" hidden="1">
      <c r="B35" s="69" t="s">
        <v>120</v>
      </c>
      <c r="C35" s="100">
        <f>E53+E70+E86</f>
        <v>68200</v>
      </c>
      <c r="D35" s="74" t="s">
        <v>118</v>
      </c>
      <c r="F35" s="72" t="s">
        <v>122</v>
      </c>
      <c r="G35" s="69"/>
      <c r="H35" s="101">
        <f>E104</f>
        <v>0</v>
      </c>
      <c r="I35" s="74" t="s">
        <v>118</v>
      </c>
    </row>
    <row r="36" spans="1:9" ht="26.25" hidden="1">
      <c r="B36" s="70" t="s">
        <v>121</v>
      </c>
      <c r="C36" s="100">
        <f>E96</f>
        <v>200</v>
      </c>
      <c r="D36" s="73" t="s">
        <v>118</v>
      </c>
    </row>
    <row r="37" spans="1:9" hidden="1"/>
    <row r="38" spans="1:9" ht="29.25">
      <c r="B38" s="216" t="str">
        <f>"FTES สาขาวิชา" &amp; H1</f>
        <v>FTES สาขาวิชาเทคโนโลยีชีวภาพ</v>
      </c>
      <c r="C38" s="217"/>
      <c r="D38" s="95">
        <v>200</v>
      </c>
    </row>
    <row r="40" spans="1:9">
      <c r="B40" s="71" t="s">
        <v>116</v>
      </c>
    </row>
    <row r="41" spans="1:9">
      <c r="B41" s="71" t="s">
        <v>165</v>
      </c>
    </row>
    <row r="42" spans="1:9">
      <c r="A42" s="104" t="s">
        <v>0</v>
      </c>
      <c r="B42" s="208" t="s">
        <v>179</v>
      </c>
      <c r="C42" s="209"/>
      <c r="D42" s="210"/>
      <c r="E42" s="104" t="s">
        <v>166</v>
      </c>
    </row>
    <row r="43" spans="1:9">
      <c r="A43" s="108">
        <v>1</v>
      </c>
      <c r="B43" s="206" t="s">
        <v>131</v>
      </c>
      <c r="C43" s="206"/>
      <c r="D43" s="206"/>
      <c r="E43" s="102">
        <v>0</v>
      </c>
    </row>
    <row r="44" spans="1:9">
      <c r="A44" s="108">
        <v>2</v>
      </c>
      <c r="B44" s="206" t="s">
        <v>132</v>
      </c>
      <c r="C44" s="207"/>
      <c r="D44" s="207"/>
      <c r="E44" s="102">
        <v>0</v>
      </c>
    </row>
    <row r="45" spans="1:9">
      <c r="A45" s="108">
        <v>3</v>
      </c>
      <c r="B45" s="206" t="s">
        <v>133</v>
      </c>
      <c r="C45" s="207"/>
      <c r="D45" s="207"/>
      <c r="E45" s="102">
        <v>0</v>
      </c>
    </row>
    <row r="46" spans="1:9">
      <c r="A46" s="108">
        <v>4</v>
      </c>
      <c r="B46" s="206" t="s">
        <v>134</v>
      </c>
      <c r="C46" s="207"/>
      <c r="D46" s="207"/>
      <c r="E46" s="102">
        <v>5000</v>
      </c>
    </row>
    <row r="47" spans="1:9">
      <c r="A47" s="108">
        <v>5</v>
      </c>
      <c r="B47" s="206" t="s">
        <v>135</v>
      </c>
      <c r="C47" s="207"/>
      <c r="D47" s="207"/>
      <c r="E47" s="102">
        <v>0</v>
      </c>
    </row>
    <row r="48" spans="1:9">
      <c r="A48" s="108">
        <v>6</v>
      </c>
      <c r="B48" s="206" t="s">
        <v>136</v>
      </c>
      <c r="C48" s="207"/>
      <c r="D48" s="207"/>
      <c r="E48" s="102">
        <v>0</v>
      </c>
    </row>
    <row r="49" spans="1:5">
      <c r="A49" s="108">
        <v>7</v>
      </c>
      <c r="B49" s="206" t="s">
        <v>137</v>
      </c>
      <c r="C49" s="207"/>
      <c r="D49" s="207"/>
      <c r="E49" s="102">
        <v>20000</v>
      </c>
    </row>
    <row r="50" spans="1:5">
      <c r="A50" s="108">
        <v>8</v>
      </c>
      <c r="B50" s="206" t="s">
        <v>138</v>
      </c>
      <c r="C50" s="207"/>
      <c r="D50" s="207"/>
      <c r="E50" s="102">
        <v>0</v>
      </c>
    </row>
    <row r="51" spans="1:5">
      <c r="A51" s="108">
        <v>9</v>
      </c>
      <c r="B51" s="206" t="s">
        <v>139</v>
      </c>
      <c r="C51" s="207"/>
      <c r="D51" s="207"/>
      <c r="E51" s="102">
        <v>0</v>
      </c>
    </row>
    <row r="52" spans="1:5">
      <c r="A52" s="108">
        <v>10</v>
      </c>
      <c r="B52" s="206" t="s">
        <v>140</v>
      </c>
      <c r="C52" s="207"/>
      <c r="D52" s="207"/>
      <c r="E52" s="102">
        <v>0</v>
      </c>
    </row>
    <row r="53" spans="1:5">
      <c r="A53" s="211" t="s">
        <v>1</v>
      </c>
      <c r="B53" s="212"/>
      <c r="C53" s="212"/>
      <c r="D53" s="212"/>
      <c r="E53" s="107">
        <f>SUM(E43:E52)</f>
        <v>25000</v>
      </c>
    </row>
    <row r="55" spans="1:5">
      <c r="B55" s="98" t="s">
        <v>167</v>
      </c>
    </row>
    <row r="56" spans="1:5">
      <c r="A56" s="104" t="s">
        <v>0</v>
      </c>
      <c r="B56" s="208" t="s">
        <v>179</v>
      </c>
      <c r="C56" s="209"/>
      <c r="D56" s="210"/>
      <c r="E56" s="104" t="s">
        <v>166</v>
      </c>
    </row>
    <row r="57" spans="1:5">
      <c r="A57" s="108">
        <v>1</v>
      </c>
      <c r="B57" s="206" t="s">
        <v>141</v>
      </c>
      <c r="C57" s="207"/>
      <c r="D57" s="207"/>
      <c r="E57" s="102">
        <v>0</v>
      </c>
    </row>
    <row r="58" spans="1:5">
      <c r="A58" s="108">
        <v>2</v>
      </c>
      <c r="B58" s="206" t="s">
        <v>142</v>
      </c>
      <c r="C58" s="207"/>
      <c r="D58" s="207"/>
      <c r="E58" s="102">
        <v>0</v>
      </c>
    </row>
    <row r="59" spans="1:5">
      <c r="A59" s="108">
        <v>3</v>
      </c>
      <c r="B59" s="206" t="s">
        <v>143</v>
      </c>
      <c r="C59" s="207"/>
      <c r="D59" s="207"/>
      <c r="E59" s="102">
        <v>0</v>
      </c>
    </row>
    <row r="60" spans="1:5">
      <c r="A60" s="108">
        <v>4</v>
      </c>
      <c r="B60" s="206" t="s">
        <v>144</v>
      </c>
      <c r="C60" s="207"/>
      <c r="D60" s="207"/>
      <c r="E60" s="102">
        <v>0</v>
      </c>
    </row>
    <row r="61" spans="1:5">
      <c r="A61" s="108">
        <v>5</v>
      </c>
      <c r="B61" s="206" t="s">
        <v>145</v>
      </c>
      <c r="C61" s="207"/>
      <c r="D61" s="207"/>
      <c r="E61" s="102">
        <v>0</v>
      </c>
    </row>
    <row r="62" spans="1:5">
      <c r="A62" s="108">
        <v>6</v>
      </c>
      <c r="B62" s="206" t="s">
        <v>146</v>
      </c>
      <c r="C62" s="207"/>
      <c r="D62" s="207"/>
      <c r="E62" s="102">
        <v>2000</v>
      </c>
    </row>
    <row r="63" spans="1:5">
      <c r="A63" s="108">
        <v>7</v>
      </c>
      <c r="B63" s="206" t="s">
        <v>147</v>
      </c>
      <c r="C63" s="207"/>
      <c r="D63" s="207"/>
      <c r="E63" s="102">
        <v>0</v>
      </c>
    </row>
    <row r="64" spans="1:5">
      <c r="A64" s="108">
        <v>8</v>
      </c>
      <c r="B64" s="206" t="s">
        <v>148</v>
      </c>
      <c r="C64" s="207"/>
      <c r="D64" s="207"/>
      <c r="E64" s="102">
        <v>0</v>
      </c>
    </row>
    <row r="65" spans="1:5">
      <c r="A65" s="108">
        <v>9</v>
      </c>
      <c r="B65" s="206" t="s">
        <v>149</v>
      </c>
      <c r="C65" s="207"/>
      <c r="D65" s="207"/>
      <c r="E65" s="102">
        <v>0</v>
      </c>
    </row>
    <row r="66" spans="1:5">
      <c r="A66" s="108">
        <v>10</v>
      </c>
      <c r="B66" s="206" t="s">
        <v>150</v>
      </c>
      <c r="C66" s="207"/>
      <c r="D66" s="207"/>
      <c r="E66" s="102">
        <v>0</v>
      </c>
    </row>
    <row r="67" spans="1:5">
      <c r="A67" s="108">
        <v>11</v>
      </c>
      <c r="B67" s="206" t="s">
        <v>151</v>
      </c>
      <c r="C67" s="207"/>
      <c r="D67" s="207"/>
      <c r="E67" s="102">
        <v>0</v>
      </c>
    </row>
    <row r="68" spans="1:5">
      <c r="A68" s="108">
        <v>12</v>
      </c>
      <c r="B68" s="206" t="s">
        <v>152</v>
      </c>
      <c r="C68" s="207"/>
      <c r="D68" s="207"/>
      <c r="E68" s="102">
        <v>0</v>
      </c>
    </row>
    <row r="69" spans="1:5">
      <c r="A69" s="108">
        <v>13</v>
      </c>
      <c r="B69" s="206" t="s">
        <v>153</v>
      </c>
      <c r="C69" s="207"/>
      <c r="D69" s="207"/>
      <c r="E69" s="102">
        <v>0</v>
      </c>
    </row>
    <row r="70" spans="1:5">
      <c r="A70" s="208" t="s">
        <v>1</v>
      </c>
      <c r="B70" s="209"/>
      <c r="C70" s="209"/>
      <c r="D70" s="210"/>
      <c r="E70" s="105">
        <f>SUM(E57:E69)</f>
        <v>2000</v>
      </c>
    </row>
    <row r="72" spans="1:5">
      <c r="B72" s="98" t="s">
        <v>168</v>
      </c>
    </row>
    <row r="73" spans="1:5">
      <c r="A73" s="104" t="s">
        <v>0</v>
      </c>
      <c r="B73" s="208" t="s">
        <v>179</v>
      </c>
      <c r="C73" s="209"/>
      <c r="D73" s="210"/>
      <c r="E73" s="104" t="s">
        <v>166</v>
      </c>
    </row>
    <row r="74" spans="1:5">
      <c r="A74" s="108">
        <v>1</v>
      </c>
      <c r="B74" s="213" t="s">
        <v>185</v>
      </c>
      <c r="C74" s="214"/>
      <c r="D74" s="215"/>
      <c r="E74" s="102">
        <v>0</v>
      </c>
    </row>
    <row r="75" spans="1:5">
      <c r="A75" s="108">
        <v>2</v>
      </c>
      <c r="B75" s="206" t="s">
        <v>154</v>
      </c>
      <c r="C75" s="207"/>
      <c r="D75" s="207"/>
      <c r="E75" s="102">
        <v>0</v>
      </c>
    </row>
    <row r="76" spans="1:5">
      <c r="A76" s="108">
        <v>3</v>
      </c>
      <c r="B76" s="206" t="s">
        <v>155</v>
      </c>
      <c r="C76" s="207"/>
      <c r="D76" s="207"/>
      <c r="E76" s="102">
        <v>0</v>
      </c>
    </row>
    <row r="77" spans="1:5">
      <c r="A77" s="108">
        <v>4</v>
      </c>
      <c r="B77" s="206" t="s">
        <v>156</v>
      </c>
      <c r="C77" s="207"/>
      <c r="D77" s="207"/>
      <c r="E77" s="102">
        <v>0</v>
      </c>
    </row>
    <row r="78" spans="1:5">
      <c r="A78" s="108">
        <v>5</v>
      </c>
      <c r="B78" s="206" t="s">
        <v>157</v>
      </c>
      <c r="C78" s="207"/>
      <c r="D78" s="207"/>
      <c r="E78" s="102">
        <v>0</v>
      </c>
    </row>
    <row r="79" spans="1:5">
      <c r="A79" s="108">
        <v>6</v>
      </c>
      <c r="B79" s="206" t="s">
        <v>158</v>
      </c>
      <c r="C79" s="207"/>
      <c r="D79" s="207"/>
      <c r="E79" s="102">
        <v>0</v>
      </c>
    </row>
    <row r="80" spans="1:5">
      <c r="A80" s="108">
        <v>7</v>
      </c>
      <c r="B80" s="206" t="s">
        <v>159</v>
      </c>
      <c r="C80" s="207"/>
      <c r="D80" s="207"/>
      <c r="E80" s="102">
        <v>0</v>
      </c>
    </row>
    <row r="81" spans="1:5">
      <c r="A81" s="108">
        <v>8</v>
      </c>
      <c r="B81" s="206" t="s">
        <v>160</v>
      </c>
      <c r="C81" s="207"/>
      <c r="D81" s="207"/>
      <c r="E81" s="102">
        <v>0</v>
      </c>
    </row>
    <row r="82" spans="1:5">
      <c r="A82" s="108">
        <v>9</v>
      </c>
      <c r="B82" s="206" t="s">
        <v>161</v>
      </c>
      <c r="C82" s="207"/>
      <c r="D82" s="207"/>
      <c r="E82" s="102">
        <v>20000</v>
      </c>
    </row>
    <row r="83" spans="1:5">
      <c r="A83" s="108">
        <v>10</v>
      </c>
      <c r="B83" s="206" t="s">
        <v>162</v>
      </c>
      <c r="C83" s="207"/>
      <c r="D83" s="207"/>
      <c r="E83" s="102">
        <v>20000</v>
      </c>
    </row>
    <row r="84" spans="1:5">
      <c r="A84" s="108">
        <v>11</v>
      </c>
      <c r="B84" s="206" t="s">
        <v>163</v>
      </c>
      <c r="C84" s="207"/>
      <c r="D84" s="207"/>
      <c r="E84" s="102">
        <v>1000</v>
      </c>
    </row>
    <row r="85" spans="1:5">
      <c r="A85" s="108">
        <v>12</v>
      </c>
      <c r="B85" s="206" t="s">
        <v>164</v>
      </c>
      <c r="C85" s="207"/>
      <c r="D85" s="207"/>
      <c r="E85" s="102">
        <v>200</v>
      </c>
    </row>
    <row r="86" spans="1:5">
      <c r="A86" s="211" t="s">
        <v>1</v>
      </c>
      <c r="B86" s="211"/>
      <c r="C86" s="211"/>
      <c r="D86" s="211"/>
      <c r="E86" s="105">
        <f>SUM(E74:E85)</f>
        <v>41200</v>
      </c>
    </row>
    <row r="88" spans="1:5">
      <c r="B88" s="98" t="s">
        <v>121</v>
      </c>
    </row>
    <row r="89" spans="1:5">
      <c r="A89" s="104" t="s">
        <v>0</v>
      </c>
      <c r="B89" s="208" t="s">
        <v>179</v>
      </c>
      <c r="C89" s="209"/>
      <c r="D89" s="210"/>
      <c r="E89" s="104" t="s">
        <v>166</v>
      </c>
    </row>
    <row r="90" spans="1:5">
      <c r="A90" s="109">
        <v>1</v>
      </c>
      <c r="B90" s="218" t="s">
        <v>169</v>
      </c>
      <c r="C90" s="218"/>
      <c r="D90" s="218"/>
      <c r="E90" s="102">
        <v>0</v>
      </c>
    </row>
    <row r="91" spans="1:5">
      <c r="A91" s="109">
        <v>2</v>
      </c>
      <c r="B91" s="218" t="s">
        <v>170</v>
      </c>
      <c r="C91" s="218"/>
      <c r="D91" s="218"/>
      <c r="E91" s="102">
        <v>0</v>
      </c>
    </row>
    <row r="92" spans="1:5">
      <c r="A92" s="109">
        <v>3</v>
      </c>
      <c r="B92" s="218" t="s">
        <v>171</v>
      </c>
      <c r="C92" s="218"/>
      <c r="D92" s="218"/>
      <c r="E92" s="102">
        <v>0</v>
      </c>
    </row>
    <row r="93" spans="1:5">
      <c r="A93" s="109">
        <v>4</v>
      </c>
      <c r="B93" s="218" t="s">
        <v>172</v>
      </c>
      <c r="C93" s="218"/>
      <c r="D93" s="218"/>
      <c r="E93" s="102">
        <v>200</v>
      </c>
    </row>
    <row r="94" spans="1:5">
      <c r="A94" s="109">
        <v>5</v>
      </c>
      <c r="B94" s="218" t="s">
        <v>173</v>
      </c>
      <c r="C94" s="218"/>
      <c r="D94" s="218"/>
      <c r="E94" s="102">
        <v>0</v>
      </c>
    </row>
    <row r="95" spans="1:5">
      <c r="A95" s="109">
        <v>6</v>
      </c>
      <c r="B95" s="218" t="s">
        <v>174</v>
      </c>
      <c r="C95" s="218"/>
      <c r="D95" s="218"/>
      <c r="E95" s="102">
        <v>0</v>
      </c>
    </row>
    <row r="96" spans="1:5">
      <c r="A96" s="211" t="s">
        <v>1</v>
      </c>
      <c r="B96" s="211"/>
      <c r="C96" s="211"/>
      <c r="D96" s="211"/>
      <c r="E96" s="106">
        <f>SUM(E90:E95)</f>
        <v>200</v>
      </c>
    </row>
    <row r="97" spans="1:10">
      <c r="B97" s="58" t="s">
        <v>2</v>
      </c>
    </row>
    <row r="98" spans="1:10">
      <c r="B98" s="71" t="s">
        <v>117</v>
      </c>
    </row>
    <row r="99" spans="1:10">
      <c r="A99" s="104" t="s">
        <v>0</v>
      </c>
      <c r="B99" s="208" t="s">
        <v>179</v>
      </c>
      <c r="C99" s="209"/>
      <c r="D99" s="210"/>
      <c r="E99" s="104" t="s">
        <v>166</v>
      </c>
    </row>
    <row r="100" spans="1:10">
      <c r="A100" s="109">
        <v>1</v>
      </c>
      <c r="B100" s="218" t="s">
        <v>175</v>
      </c>
      <c r="C100" s="218"/>
      <c r="D100" s="218"/>
      <c r="E100" s="102">
        <v>0</v>
      </c>
    </row>
    <row r="101" spans="1:10">
      <c r="A101" s="109">
        <v>2</v>
      </c>
      <c r="B101" s="218" t="s">
        <v>176</v>
      </c>
      <c r="C101" s="218"/>
      <c r="D101" s="218"/>
      <c r="E101" s="102">
        <v>0</v>
      </c>
    </row>
    <row r="102" spans="1:10">
      <c r="A102" s="109">
        <v>3</v>
      </c>
      <c r="B102" s="218" t="s">
        <v>177</v>
      </c>
      <c r="C102" s="218"/>
      <c r="D102" s="218"/>
      <c r="E102" s="102">
        <v>0</v>
      </c>
    </row>
    <row r="103" spans="1:10">
      <c r="A103" s="109">
        <v>4</v>
      </c>
      <c r="B103" s="218" t="s">
        <v>178</v>
      </c>
      <c r="C103" s="218"/>
      <c r="D103" s="218"/>
      <c r="E103" s="102">
        <v>0</v>
      </c>
    </row>
    <row r="104" spans="1:10">
      <c r="A104" s="211" t="s">
        <v>1</v>
      </c>
      <c r="B104" s="211"/>
      <c r="C104" s="211"/>
      <c r="D104" s="211"/>
      <c r="E104" s="105">
        <f>SUM(E100:E103)</f>
        <v>0</v>
      </c>
    </row>
    <row r="105" spans="1:10" ht="26.25">
      <c r="B105" s="58" t="s">
        <v>2</v>
      </c>
      <c r="G105" s="99" t="s">
        <v>127</v>
      </c>
      <c r="H105" s="57"/>
      <c r="I105" s="57"/>
      <c r="J105" s="57"/>
    </row>
    <row r="106" spans="1:10" ht="26.25">
      <c r="A106" s="56" t="s">
        <v>119</v>
      </c>
      <c r="B106" s="57"/>
      <c r="G106" s="99" t="s">
        <v>128</v>
      </c>
      <c r="H106" s="57"/>
      <c r="I106" s="57"/>
      <c r="J106" s="57"/>
    </row>
    <row r="107" spans="1:10" ht="26.25">
      <c r="B107" s="97" t="s">
        <v>124</v>
      </c>
      <c r="C107" s="94">
        <v>2000</v>
      </c>
      <c r="D107" s="73" t="s">
        <v>118</v>
      </c>
      <c r="G107" s="99" t="s">
        <v>129</v>
      </c>
      <c r="H107" s="57"/>
      <c r="I107" s="57"/>
      <c r="J107" s="57"/>
    </row>
    <row r="108" spans="1:10" ht="26.25">
      <c r="B108" s="96" t="s">
        <v>123</v>
      </c>
      <c r="C108" s="94">
        <v>3000</v>
      </c>
      <c r="D108" s="73" t="s">
        <v>118</v>
      </c>
      <c r="G108" s="99" t="s">
        <v>130</v>
      </c>
      <c r="H108" s="99"/>
      <c r="I108" s="99"/>
      <c r="J108" s="99"/>
    </row>
  </sheetData>
  <sheetProtection algorithmName="SHA-512" hashValue="nR0WGvl2sC53YBrVdPOn8GmLrPqMhdIPgmeOELBhvlnhaj58vcdPr6CBxgvwV4QNNi2rFtdi9pzXbE4tgLItsQ==" saltValue="v2z5FIREKqevKjAIoVjMVQ==" spinCount="100000" sheet="1" objects="1" scenarios="1"/>
  <protectedRanges>
    <protectedRange sqref="H1 E2 H2 A5:F24 D38 E43:E52 E57:E69 E74:E85 E90:E95 E100:E103 C107:C108" name="Range1"/>
  </protectedRanges>
  <mergeCells count="65">
    <mergeCell ref="B38:C38"/>
    <mergeCell ref="B102:D102"/>
    <mergeCell ref="B103:D103"/>
    <mergeCell ref="A104:D104"/>
    <mergeCell ref="B99:D99"/>
    <mergeCell ref="B94:D94"/>
    <mergeCell ref="B95:D95"/>
    <mergeCell ref="A96:D96"/>
    <mergeCell ref="B100:D100"/>
    <mergeCell ref="B101:D101"/>
    <mergeCell ref="B89:D89"/>
    <mergeCell ref="B90:D90"/>
    <mergeCell ref="B91:D91"/>
    <mergeCell ref="B92:D92"/>
    <mergeCell ref="B93:D93"/>
    <mergeCell ref="B73:D73"/>
    <mergeCell ref="B74:D74"/>
    <mergeCell ref="B75:D75"/>
    <mergeCell ref="A86:D86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A70:D70"/>
    <mergeCell ref="A53:D53"/>
    <mergeCell ref="B66:D66"/>
    <mergeCell ref="B67:D67"/>
    <mergeCell ref="B68:D68"/>
    <mergeCell ref="B69:D69"/>
    <mergeCell ref="B61:D61"/>
    <mergeCell ref="B62:D62"/>
    <mergeCell ref="B63:D63"/>
    <mergeCell ref="B64:D64"/>
    <mergeCell ref="B65:D65"/>
    <mergeCell ref="B57:D57"/>
    <mergeCell ref="B58:D58"/>
    <mergeCell ref="B59:D59"/>
    <mergeCell ref="B60:D60"/>
    <mergeCell ref="B56:D56"/>
    <mergeCell ref="B42:D42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H1:J1"/>
    <mergeCell ref="B32:C32"/>
    <mergeCell ref="B28:C28"/>
    <mergeCell ref="B29:C29"/>
    <mergeCell ref="B30:C30"/>
    <mergeCell ref="B31:C31"/>
    <mergeCell ref="A25:C25"/>
    <mergeCell ref="H2:J2"/>
    <mergeCell ref="E1:F1"/>
  </mergeCells>
  <dataValidations count="2">
    <dataValidation type="list" allowBlank="1" showInputMessage="1" showErrorMessage="1" sqref="C5:C24">
      <formula1>"ข้าราชการ,พนักงานมหาวิทยาลัย,ค่าจ้างประจำ,ค่าจ้างชั่วคราว, - "</formula1>
    </dataValidation>
    <dataValidation type="list" allowBlank="1" showInputMessage="1" showErrorMessage="1" sqref="E2">
      <formula1>"2558,2559,2560,2561,2562,2563,2564,2565"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Normal="100" zoomScaleSheetLayoutView="100" workbookViewId="0">
      <selection activeCell="N17" sqref="N17"/>
    </sheetView>
  </sheetViews>
  <sheetFormatPr defaultColWidth="9.140625" defaultRowHeight="23.25"/>
  <cols>
    <col min="1" max="1" width="3.28515625" style="1" customWidth="1"/>
    <col min="2" max="2" width="22.140625" style="1" customWidth="1"/>
    <col min="3" max="3" width="15.28515625" style="1" customWidth="1"/>
    <col min="4" max="4" width="6.42578125" style="1" customWidth="1"/>
    <col min="5" max="5" width="4.42578125" style="1" customWidth="1"/>
    <col min="6" max="6" width="4" style="1" customWidth="1"/>
    <col min="7" max="7" width="21.7109375" style="1" customWidth="1"/>
    <col min="8" max="8" width="14" style="1" customWidth="1"/>
    <col min="9" max="9" width="11.28515625" style="1" customWidth="1"/>
    <col min="10" max="10" width="10.85546875" style="1" customWidth="1"/>
    <col min="11" max="11" width="12.7109375" style="1" customWidth="1"/>
    <col min="12" max="16384" width="9.140625" style="1"/>
  </cols>
  <sheetData>
    <row r="1" spans="1:11" ht="29.25">
      <c r="A1" s="113" t="s">
        <v>59</v>
      </c>
      <c r="G1" s="125" t="str">
        <f>"มหาวิทยาลัย"&amp;กรอกข้อมูล!E1</f>
        <v>มหาวิทยาลัยราชภัฏเพชรบุรี</v>
      </c>
    </row>
    <row r="2" spans="1:11">
      <c r="A2" s="8" t="s">
        <v>82</v>
      </c>
      <c r="F2" s="8" t="s">
        <v>83</v>
      </c>
    </row>
    <row r="3" spans="1:11" ht="12" customHeight="1"/>
    <row r="4" spans="1:11">
      <c r="A4" s="11" t="s">
        <v>0</v>
      </c>
      <c r="B4" s="11" t="s">
        <v>31</v>
      </c>
      <c r="C4" s="11" t="s">
        <v>79</v>
      </c>
      <c r="F4" s="224" t="s">
        <v>0</v>
      </c>
      <c r="G4" s="224" t="s">
        <v>31</v>
      </c>
      <c r="H4" s="224" t="s">
        <v>79</v>
      </c>
      <c r="I4" s="11" t="s">
        <v>46</v>
      </c>
      <c r="J4" s="11" t="s">
        <v>47</v>
      </c>
      <c r="K4" s="11" t="s">
        <v>48</v>
      </c>
    </row>
    <row r="5" spans="1:11">
      <c r="A5" s="16">
        <v>1</v>
      </c>
      <c r="B5" s="18" t="s">
        <v>32</v>
      </c>
      <c r="C5" s="29">
        <v>45890233</v>
      </c>
      <c r="F5" s="226"/>
      <c r="G5" s="225"/>
      <c r="H5" s="225"/>
      <c r="I5" s="223" t="s">
        <v>78</v>
      </c>
      <c r="J5" s="223"/>
      <c r="K5" s="223"/>
    </row>
    <row r="6" spans="1:11">
      <c r="A6" s="16">
        <v>2</v>
      </c>
      <c r="B6" s="18" t="s">
        <v>33</v>
      </c>
      <c r="C6" s="29">
        <v>23432215</v>
      </c>
      <c r="F6" s="226"/>
      <c r="G6" s="225"/>
      <c r="H6" s="225"/>
      <c r="I6" s="30">
        <v>40</v>
      </c>
      <c r="J6" s="30">
        <v>30</v>
      </c>
      <c r="K6" s="21">
        <f>100-I6-J6</f>
        <v>30</v>
      </c>
    </row>
    <row r="7" spans="1:11">
      <c r="A7" s="16">
        <v>3</v>
      </c>
      <c r="B7" s="18" t="s">
        <v>34</v>
      </c>
      <c r="C7" s="29">
        <v>15432892</v>
      </c>
      <c r="F7" s="16">
        <v>1</v>
      </c>
      <c r="G7" s="18" t="s">
        <v>49</v>
      </c>
      <c r="H7" s="19">
        <v>4902494</v>
      </c>
      <c r="I7" s="22">
        <f>H7*I6/100</f>
        <v>1960997.6</v>
      </c>
      <c r="J7" s="22">
        <f>H7*J6/100</f>
        <v>1470748.2</v>
      </c>
      <c r="K7" s="22">
        <f>H7*K6/100</f>
        <v>1470748.2</v>
      </c>
    </row>
    <row r="8" spans="1:11">
      <c r="A8" s="16">
        <v>4</v>
      </c>
      <c r="B8" s="18" t="s">
        <v>35</v>
      </c>
      <c r="C8" s="29">
        <v>3449802</v>
      </c>
      <c r="F8" s="16">
        <v>2</v>
      </c>
      <c r="G8" s="18" t="s">
        <v>50</v>
      </c>
      <c r="H8" s="19">
        <v>4202093</v>
      </c>
      <c r="I8" s="22">
        <f>H8*I6/100</f>
        <v>1680837.2</v>
      </c>
      <c r="J8" s="22">
        <f>H8*J6/100</f>
        <v>1260627.8999999999</v>
      </c>
      <c r="K8" s="22">
        <f>H8*K6/100</f>
        <v>1260627.8999999999</v>
      </c>
    </row>
    <row r="9" spans="1:11">
      <c r="A9" s="16">
        <v>5</v>
      </c>
      <c r="B9" s="18" t="s">
        <v>36</v>
      </c>
      <c r="C9" s="29">
        <v>4903434</v>
      </c>
      <c r="F9" s="16">
        <v>3</v>
      </c>
      <c r="G9" s="18" t="s">
        <v>51</v>
      </c>
      <c r="H9" s="19">
        <v>3940392</v>
      </c>
      <c r="I9" s="22">
        <f>H9*I6/100</f>
        <v>1576156.8</v>
      </c>
      <c r="J9" s="22">
        <f>H9*J6/100</f>
        <v>1182117.6000000001</v>
      </c>
      <c r="K9" s="22">
        <f>H9*K6/100</f>
        <v>1182117.6000000001</v>
      </c>
    </row>
    <row r="10" spans="1:11">
      <c r="A10" s="16">
        <v>6</v>
      </c>
      <c r="B10" s="18" t="s">
        <v>37</v>
      </c>
      <c r="C10" s="29">
        <v>1298342</v>
      </c>
      <c r="F10" s="16">
        <v>4</v>
      </c>
      <c r="G10" s="18" t="s">
        <v>52</v>
      </c>
      <c r="H10" s="19">
        <v>1020303</v>
      </c>
      <c r="I10" s="22">
        <f>H10*I6/100</f>
        <v>408121.2</v>
      </c>
      <c r="J10" s="22">
        <f>H10*J6/100</f>
        <v>306090.90000000002</v>
      </c>
      <c r="K10" s="22">
        <f>H10*K6/100</f>
        <v>306090.90000000002</v>
      </c>
    </row>
    <row r="11" spans="1:11">
      <c r="A11" s="16">
        <v>7</v>
      </c>
      <c r="B11" s="18" t="s">
        <v>38</v>
      </c>
      <c r="C11" s="29">
        <v>2093202</v>
      </c>
      <c r="F11" s="16">
        <v>5</v>
      </c>
      <c r="G11" s="18"/>
      <c r="H11" s="18"/>
      <c r="I11" s="22">
        <f>H11*I6/100</f>
        <v>0</v>
      </c>
      <c r="J11" s="22">
        <f>H11*J6/100</f>
        <v>0</v>
      </c>
      <c r="K11" s="22">
        <f>H11*K6/100</f>
        <v>0</v>
      </c>
    </row>
    <row r="12" spans="1:11">
      <c r="A12" s="16">
        <v>8</v>
      </c>
      <c r="B12" s="18" t="s">
        <v>39</v>
      </c>
      <c r="C12" s="29">
        <v>3520303</v>
      </c>
      <c r="F12" s="16">
        <v>6</v>
      </c>
      <c r="G12" s="18"/>
      <c r="H12" s="18"/>
      <c r="I12" s="22">
        <f>H6*I8/100</f>
        <v>0</v>
      </c>
      <c r="J12" s="22">
        <f>H12*J6/100</f>
        <v>0</v>
      </c>
      <c r="K12" s="22">
        <f>H12*K6/100</f>
        <v>0</v>
      </c>
    </row>
    <row r="13" spans="1:11">
      <c r="A13" s="16">
        <v>9</v>
      </c>
      <c r="B13" s="18" t="s">
        <v>40</v>
      </c>
      <c r="C13" s="29">
        <v>2590380</v>
      </c>
      <c r="F13" s="227" t="s">
        <v>53</v>
      </c>
      <c r="G13" s="228"/>
      <c r="H13" s="17">
        <f>SUM(H7:H12)</f>
        <v>14065282</v>
      </c>
      <c r="I13" s="17">
        <f>SUM(I7:I12)</f>
        <v>5626112.7999999998</v>
      </c>
      <c r="J13" s="17">
        <f>SUM(J7:J12)</f>
        <v>4219584.5999999996</v>
      </c>
      <c r="K13" s="17">
        <f>SUM(K7:K12)</f>
        <v>4219584.5999999996</v>
      </c>
    </row>
    <row r="14" spans="1:11">
      <c r="A14" s="16">
        <v>10</v>
      </c>
      <c r="B14" s="18"/>
      <c r="C14" s="18"/>
      <c r="I14" s="23" t="s">
        <v>54</v>
      </c>
      <c r="J14" s="23" t="s">
        <v>55</v>
      </c>
      <c r="K14" s="23" t="s">
        <v>56</v>
      </c>
    </row>
    <row r="15" spans="1:11">
      <c r="A15" s="16">
        <v>11</v>
      </c>
      <c r="B15" s="18"/>
      <c r="C15" s="18"/>
      <c r="E15" s="24"/>
      <c r="F15" s="24"/>
      <c r="G15" s="24"/>
    </row>
    <row r="16" spans="1:11">
      <c r="A16" s="221" t="s">
        <v>1</v>
      </c>
      <c r="B16" s="222"/>
      <c r="C16" s="25">
        <f>SUM(C5:C15)</f>
        <v>102610803</v>
      </c>
      <c r="D16" s="23" t="s">
        <v>2</v>
      </c>
      <c r="E16" s="24"/>
      <c r="F16" s="24"/>
      <c r="G16" s="24"/>
    </row>
    <row r="17" spans="1:11">
      <c r="E17" s="24"/>
      <c r="F17" s="24"/>
      <c r="G17" s="24"/>
    </row>
    <row r="19" spans="1:11">
      <c r="A19" s="8" t="s">
        <v>84</v>
      </c>
      <c r="F19" s="8" t="s">
        <v>70</v>
      </c>
    </row>
    <row r="20" spans="1:11" ht="12" customHeight="1" thickBot="1"/>
    <row r="21" spans="1:11" ht="24" thickBot="1">
      <c r="A21" s="11" t="s">
        <v>0</v>
      </c>
      <c r="B21" s="11" t="s">
        <v>41</v>
      </c>
      <c r="C21" s="11" t="s">
        <v>79</v>
      </c>
      <c r="G21" s="9"/>
      <c r="H21" s="10" t="s">
        <v>57</v>
      </c>
      <c r="I21" s="10" t="s">
        <v>47</v>
      </c>
      <c r="J21" s="10" t="s">
        <v>48</v>
      </c>
      <c r="K21" s="10" t="s">
        <v>1</v>
      </c>
    </row>
    <row r="22" spans="1:11">
      <c r="A22" s="16">
        <v>1</v>
      </c>
      <c r="B22" s="18" t="s">
        <v>42</v>
      </c>
      <c r="C22" s="31">
        <v>15890233</v>
      </c>
      <c r="G22" s="26"/>
      <c r="H22" s="27" t="s">
        <v>2</v>
      </c>
      <c r="I22" s="27" t="s">
        <v>2</v>
      </c>
      <c r="J22" s="27" t="s">
        <v>2</v>
      </c>
      <c r="K22" s="27" t="s">
        <v>2</v>
      </c>
    </row>
    <row r="23" spans="1:11" ht="24" thickBot="1">
      <c r="A23" s="16">
        <v>2</v>
      </c>
      <c r="B23" s="18" t="s">
        <v>43</v>
      </c>
      <c r="C23" s="31">
        <v>30432215</v>
      </c>
      <c r="G23" s="12" t="s">
        <v>80</v>
      </c>
      <c r="H23" s="13">
        <f>C16+I13</f>
        <v>108236915.8</v>
      </c>
      <c r="I23" s="13">
        <f>C25+J13</f>
        <v>50542032.600000001</v>
      </c>
      <c r="J23" s="13">
        <f>C32+K13</f>
        <v>6312786.5999999996</v>
      </c>
      <c r="K23" s="13">
        <f>SUM(H23:J23)</f>
        <v>165091735</v>
      </c>
    </row>
    <row r="24" spans="1:11">
      <c r="A24" s="15" t="s">
        <v>2</v>
      </c>
      <c r="B24" s="18"/>
      <c r="C24" s="18"/>
    </row>
    <row r="25" spans="1:11">
      <c r="A25" s="219" t="s">
        <v>44</v>
      </c>
      <c r="B25" s="220"/>
      <c r="C25" s="28">
        <f>SUM(C22:C24)</f>
        <v>46322448</v>
      </c>
      <c r="D25" s="23" t="s">
        <v>2</v>
      </c>
    </row>
    <row r="26" spans="1:11">
      <c r="A26" s="24"/>
      <c r="B26" s="24"/>
      <c r="C26" s="24"/>
    </row>
    <row r="27" spans="1:11">
      <c r="A27" s="8" t="s">
        <v>71</v>
      </c>
    </row>
    <row r="28" spans="1:11" ht="11.25" customHeight="1"/>
    <row r="29" spans="1:11">
      <c r="A29" s="11" t="s">
        <v>0</v>
      </c>
      <c r="B29" s="11" t="s">
        <v>31</v>
      </c>
      <c r="C29" s="11" t="s">
        <v>79</v>
      </c>
    </row>
    <row r="30" spans="1:11">
      <c r="A30" s="16">
        <v>1</v>
      </c>
      <c r="B30" s="18" t="s">
        <v>45</v>
      </c>
      <c r="C30" s="31">
        <v>2093202</v>
      </c>
    </row>
    <row r="31" spans="1:11">
      <c r="A31" s="15"/>
      <c r="B31" s="18"/>
      <c r="C31" s="18"/>
    </row>
    <row r="32" spans="1:11">
      <c r="A32" s="219" t="s">
        <v>81</v>
      </c>
      <c r="B32" s="220"/>
      <c r="C32" s="28">
        <f>SUM(C30:C31)</f>
        <v>2093202</v>
      </c>
      <c r="D32" s="23" t="s">
        <v>2</v>
      </c>
    </row>
  </sheetData>
  <sheetProtection algorithmName="SHA-512" hashValue="MPK/Kn5QGemcq9tR+O6u55FNQA63kuRwKpQiraR4Nge5dzVbWUSmLKPp6srA6idlWE5DyMBckqZtmPcay2aVJg==" saltValue="dQYoIzGq2EH01B5qmyu/9g==" spinCount="100000" sheet="1" objects="1" scenarios="1"/>
  <protectedRanges>
    <protectedRange sqref="B5:C15 G7:H12 I6:J6 B22:C24 B30:C31" name="Range1"/>
  </protectedRanges>
  <mergeCells count="8">
    <mergeCell ref="A32:B32"/>
    <mergeCell ref="A25:B25"/>
    <mergeCell ref="A16:B16"/>
    <mergeCell ref="I5:K5"/>
    <mergeCell ref="G4:G6"/>
    <mergeCell ref="H4:H6"/>
    <mergeCell ref="F4:F6"/>
    <mergeCell ref="F13:G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opLeftCell="A4" workbookViewId="0">
      <selection activeCell="B6" sqref="B6"/>
    </sheetView>
  </sheetViews>
  <sheetFormatPr defaultColWidth="9.140625" defaultRowHeight="23.25"/>
  <cols>
    <col min="1" max="1" width="4.140625" style="1" customWidth="1"/>
    <col min="2" max="2" width="21.5703125" style="1" customWidth="1"/>
    <col min="3" max="3" width="14.5703125" style="1" customWidth="1"/>
    <col min="4" max="4" width="13.28515625" style="1" customWidth="1"/>
    <col min="5" max="5" width="17.28515625" style="1" customWidth="1"/>
    <col min="6" max="6" width="6.28515625" style="1" customWidth="1"/>
    <col min="7" max="7" width="14.42578125" style="1" customWidth="1"/>
    <col min="8" max="8" width="12.42578125" style="1" bestFit="1" customWidth="1"/>
    <col min="9" max="9" width="11.5703125" style="1" customWidth="1"/>
    <col min="10" max="10" width="10.28515625" style="1" customWidth="1"/>
    <col min="11" max="11" width="13.140625" style="1" customWidth="1"/>
    <col min="12" max="16384" width="9.140625" style="1"/>
  </cols>
  <sheetData>
    <row r="1" spans="1:11" ht="29.25">
      <c r="A1" s="113" t="s">
        <v>220</v>
      </c>
      <c r="D1" s="125" t="str">
        <f>"คณะ"&amp;กรอกข้อมูล!H2 &amp;"  มหาวิทยาลัย"&amp;กรอกข้อมูล!E1</f>
        <v>คณะวิทยาศาสตร์และเทคโนโลยี  มหาวิทยาลัยราชภัฏเพชรบุรี</v>
      </c>
    </row>
    <row r="2" spans="1:11" ht="27" thickBot="1">
      <c r="B2" s="196" t="s">
        <v>60</v>
      </c>
      <c r="G2" s="197" t="s">
        <v>221</v>
      </c>
    </row>
    <row r="3" spans="1:11" ht="24" thickBot="1">
      <c r="G3" s="9"/>
      <c r="H3" s="10" t="s">
        <v>57</v>
      </c>
      <c r="I3" s="10" t="s">
        <v>47</v>
      </c>
      <c r="J3" s="10" t="s">
        <v>48</v>
      </c>
      <c r="K3" s="10" t="s">
        <v>1</v>
      </c>
    </row>
    <row r="4" spans="1:11" ht="24" thickBot="1">
      <c r="A4" s="229" t="s">
        <v>0</v>
      </c>
      <c r="B4" s="224" t="s">
        <v>61</v>
      </c>
      <c r="C4" s="224" t="s">
        <v>62</v>
      </c>
      <c r="D4" s="11" t="s">
        <v>63</v>
      </c>
      <c r="E4" s="11" t="s">
        <v>65</v>
      </c>
      <c r="G4" s="12" t="s">
        <v>58</v>
      </c>
      <c r="H4" s="13">
        <f>'1เกณฑ์ปันส่วน'!H23</f>
        <v>108236915.8</v>
      </c>
      <c r="I4" s="13">
        <f>'1เกณฑ์ปันส่วน'!I23</f>
        <v>50542032.600000001</v>
      </c>
      <c r="J4" s="13">
        <f>'1เกณฑ์ปันส่วน'!J23</f>
        <v>6312786.5999999996</v>
      </c>
      <c r="K4" s="13">
        <f>'1เกณฑ์ปันส่วน'!K23</f>
        <v>165091735</v>
      </c>
    </row>
    <row r="5" spans="1:11">
      <c r="A5" s="229"/>
      <c r="B5" s="224"/>
      <c r="C5" s="224"/>
      <c r="D5" s="11" t="s">
        <v>64</v>
      </c>
      <c r="E5" s="11" t="s">
        <v>66</v>
      </c>
    </row>
    <row r="6" spans="1:11">
      <c r="A6" s="14">
        <v>1</v>
      </c>
      <c r="B6" s="195" t="str">
        <f>กรอกข้อมูล!H2</f>
        <v>วิทยาศาสตร์และเทคโนโลยี</v>
      </c>
      <c r="C6" s="19">
        <v>12340</v>
      </c>
      <c r="D6" s="19">
        <v>1500</v>
      </c>
      <c r="E6" s="20">
        <v>60</v>
      </c>
    </row>
    <row r="7" spans="1:11">
      <c r="A7" s="14">
        <v>2</v>
      </c>
      <c r="B7" s="194" t="s">
        <v>67</v>
      </c>
      <c r="C7" s="20">
        <v>890</v>
      </c>
      <c r="D7" s="20">
        <v>850</v>
      </c>
      <c r="E7" s="20">
        <v>40</v>
      </c>
    </row>
    <row r="8" spans="1:11">
      <c r="A8" s="14">
        <v>3</v>
      </c>
      <c r="B8" s="194" t="s">
        <v>68</v>
      </c>
      <c r="C8" s="20">
        <v>289</v>
      </c>
      <c r="D8" s="20">
        <v>900</v>
      </c>
      <c r="E8" s="20">
        <v>35</v>
      </c>
    </row>
    <row r="9" spans="1:11">
      <c r="A9" s="14">
        <v>4</v>
      </c>
      <c r="B9" s="194" t="s">
        <v>69</v>
      </c>
      <c r="C9" s="19">
        <v>1531</v>
      </c>
      <c r="D9" s="19">
        <v>2000</v>
      </c>
      <c r="E9" s="20">
        <v>75</v>
      </c>
    </row>
    <row r="10" spans="1:11">
      <c r="A10" s="14">
        <v>5</v>
      </c>
      <c r="B10" s="194" t="s">
        <v>219</v>
      </c>
      <c r="C10" s="19">
        <v>2531</v>
      </c>
      <c r="D10" s="19">
        <v>2500</v>
      </c>
      <c r="E10" s="20">
        <v>100</v>
      </c>
    </row>
    <row r="11" spans="1:11">
      <c r="A11" s="14">
        <v>6</v>
      </c>
      <c r="B11" s="194"/>
      <c r="C11" s="18"/>
      <c r="D11" s="18"/>
      <c r="E11" s="18"/>
    </row>
    <row r="12" spans="1:11">
      <c r="A12" s="14">
        <v>7</v>
      </c>
      <c r="B12" s="194"/>
      <c r="C12" s="18"/>
      <c r="D12" s="18"/>
      <c r="E12" s="18"/>
    </row>
    <row r="13" spans="1:11">
      <c r="A13" s="14">
        <v>8</v>
      </c>
      <c r="B13" s="194"/>
      <c r="C13" s="18"/>
      <c r="D13" s="18"/>
      <c r="E13" s="18"/>
    </row>
    <row r="14" spans="1:11">
      <c r="A14" s="14">
        <v>9</v>
      </c>
      <c r="B14" s="194"/>
      <c r="C14" s="18"/>
      <c r="D14" s="18"/>
      <c r="E14" s="18"/>
    </row>
    <row r="15" spans="1:11">
      <c r="A15" s="14">
        <v>10</v>
      </c>
      <c r="B15" s="194"/>
      <c r="C15" s="18"/>
      <c r="D15" s="18"/>
      <c r="E15" s="18"/>
    </row>
    <row r="16" spans="1:11">
      <c r="A16" s="14">
        <v>11</v>
      </c>
      <c r="B16" s="194"/>
      <c r="C16" s="18"/>
      <c r="D16" s="18"/>
      <c r="E16" s="18"/>
    </row>
    <row r="17" spans="1:5">
      <c r="A17" s="14">
        <v>12</v>
      </c>
      <c r="B17" s="194"/>
      <c r="C17" s="18"/>
      <c r="D17" s="18"/>
      <c r="E17" s="18"/>
    </row>
    <row r="18" spans="1:5">
      <c r="A18" s="14">
        <v>13</v>
      </c>
      <c r="B18" s="194"/>
      <c r="C18" s="18"/>
      <c r="D18" s="18"/>
      <c r="E18" s="18"/>
    </row>
    <row r="19" spans="1:5">
      <c r="A19" s="14">
        <v>14</v>
      </c>
      <c r="B19" s="194"/>
      <c r="C19" s="18"/>
      <c r="D19" s="18"/>
      <c r="E19" s="18"/>
    </row>
    <row r="20" spans="1:5">
      <c r="A20" s="14">
        <v>15</v>
      </c>
      <c r="B20" s="194"/>
      <c r="C20" s="18"/>
      <c r="D20" s="18"/>
      <c r="E20" s="18"/>
    </row>
    <row r="21" spans="1:5">
      <c r="A21" s="221" t="s">
        <v>1</v>
      </c>
      <c r="B21" s="223"/>
      <c r="C21" s="17">
        <f>SUM(C6:C20)</f>
        <v>17581</v>
      </c>
      <c r="D21" s="17">
        <f t="shared" ref="D21:E21" si="0">SUM(D6:D20)</f>
        <v>7750</v>
      </c>
      <c r="E21" s="17">
        <f t="shared" si="0"/>
        <v>310</v>
      </c>
    </row>
  </sheetData>
  <sheetProtection algorithmName="SHA-512" hashValue="gsRPYELK9SaKwmkPxtWFB+u7VRHLrFveHYwVFdDmB4DsH4ffJLM/wXm+EGxCVaEWKPDzdeCr8EfXNmWF07bRFA==" saltValue="48yajVvzutY11s7PO3/B0A==" spinCount="100000" sheet="1" objects="1" scenarios="1"/>
  <protectedRanges>
    <protectedRange sqref="C6:E20 B7:B20" name="Range1"/>
  </protectedRanges>
  <mergeCells count="4">
    <mergeCell ref="A21:B21"/>
    <mergeCell ref="B4:B5"/>
    <mergeCell ref="C4:C5"/>
    <mergeCell ref="A4:A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opLeftCell="A4" workbookViewId="0">
      <selection activeCell="B4" sqref="B4"/>
    </sheetView>
  </sheetViews>
  <sheetFormatPr defaultColWidth="9.140625" defaultRowHeight="23.25"/>
  <cols>
    <col min="1" max="1" width="4.140625" style="1" customWidth="1"/>
    <col min="2" max="2" width="22.85546875" style="1" customWidth="1"/>
    <col min="3" max="3" width="8.28515625" style="1" customWidth="1"/>
    <col min="4" max="4" width="16" style="1" customWidth="1"/>
    <col min="5" max="5" width="8.85546875" style="1" customWidth="1"/>
    <col min="6" max="6" width="15.7109375" style="1" customWidth="1"/>
    <col min="7" max="7" width="9.42578125" style="1" customWidth="1"/>
    <col min="8" max="8" width="16.42578125" style="1" customWidth="1"/>
    <col min="9" max="9" width="14.7109375" style="1" customWidth="1"/>
    <col min="10" max="16384" width="9.140625" style="1"/>
  </cols>
  <sheetData>
    <row r="1" spans="1:9" ht="29.25">
      <c r="B1" s="129" t="s">
        <v>213</v>
      </c>
      <c r="E1" s="233" t="str">
        <f>กรอกข้อมูล!H2</f>
        <v>วิทยาศาสตร์และเทคโนโลยี</v>
      </c>
      <c r="F1" s="233"/>
      <c r="G1" s="233"/>
      <c r="H1" s="125" t="str">
        <f>"มหาวิทยาลัย"&amp;กรอกข้อมูล!E1</f>
        <v>มหาวิทยาลัยราชภัฏเพชรบุรี</v>
      </c>
    </row>
    <row r="3" spans="1:9" ht="78.75" customHeight="1">
      <c r="A3" s="112" t="s">
        <v>0</v>
      </c>
      <c r="B3" s="2" t="s">
        <v>61</v>
      </c>
      <c r="C3" s="2" t="s">
        <v>57</v>
      </c>
      <c r="D3" s="2" t="s">
        <v>73</v>
      </c>
      <c r="E3" s="2" t="s">
        <v>77</v>
      </c>
      <c r="F3" s="2" t="s">
        <v>74</v>
      </c>
      <c r="G3" s="2" t="s">
        <v>72</v>
      </c>
      <c r="H3" s="2" t="s">
        <v>75</v>
      </c>
      <c r="I3" s="2" t="s">
        <v>76</v>
      </c>
    </row>
    <row r="4" spans="1:9">
      <c r="A4" s="3">
        <v>1</v>
      </c>
      <c r="B4" s="4" t="str">
        <f>'2ข้อมูลปันส่วน'!B6</f>
        <v>วิทยาศาสตร์และเทคโนโลยี</v>
      </c>
      <c r="C4" s="5">
        <f>'2ข้อมูลปันส่วน'!C6</f>
        <v>12340</v>
      </c>
      <c r="D4" s="5">
        <f>'2ข้อมูลปันส่วน'!H4/'2ข้อมูลปันส่วน'!C21*'3ปันส่วนคณะ'!C4</f>
        <v>75970851.542688116</v>
      </c>
      <c r="E4" s="5">
        <f>'2ข้อมูลปันส่วน'!D6</f>
        <v>1500</v>
      </c>
      <c r="F4" s="5">
        <f>'2ข้อมูลปันส่วน'!I4/'2ข้อมูลปันส่วน'!D21*'2ข้อมูลปันส่วน'!D6</f>
        <v>9782328.8903225809</v>
      </c>
      <c r="G4" s="6">
        <f>'2ข้อมูลปันส่วน'!E6</f>
        <v>60</v>
      </c>
      <c r="H4" s="5">
        <f>'2ข้อมูลปันส่วน'!J4/'2ข้อมูลปันส่วน'!E21*'2ข้อมูลปันส่วน'!E6</f>
        <v>1221829.6645161288</v>
      </c>
      <c r="I4" s="115">
        <f>D4+F4+H4</f>
        <v>86975010.097526833</v>
      </c>
    </row>
    <row r="5" spans="1:9">
      <c r="A5" s="3">
        <v>2</v>
      </c>
      <c r="B5" s="4" t="str">
        <f>'2ข้อมูลปันส่วน'!B7</f>
        <v>ศิลปศาสตร์</v>
      </c>
      <c r="C5" s="5">
        <f>'2ข้อมูลปันส่วน'!C7</f>
        <v>890</v>
      </c>
      <c r="D5" s="5">
        <f>'2ข้อมูลปันส่วน'!H4/'2ข้อมูลปันส่วน'!C21*'3ปันส่วนคณะ'!C5</f>
        <v>5479259.1469199704</v>
      </c>
      <c r="E5" s="5">
        <f>'2ข้อมูลปันส่วน'!D7</f>
        <v>850</v>
      </c>
      <c r="F5" s="5">
        <f>'2ข้อมูลปันส่วน'!I4/'2ข้อมูลปันส่วน'!D21*'2ข้อมูลปันส่วน'!D7</f>
        <v>5543319.7045161296</v>
      </c>
      <c r="G5" s="6">
        <f>'2ข้อมูลปันส่วน'!E7</f>
        <v>40</v>
      </c>
      <c r="H5" s="5">
        <f>'2ข้อมูลปันส่วน'!J4/'2ข้อมูลปันส่วน'!E21*'2ข้อมูลปันส่วน'!E7</f>
        <v>814553.1096774193</v>
      </c>
      <c r="I5" s="115">
        <f>D5+F5+H5</f>
        <v>11837131.96111352</v>
      </c>
    </row>
    <row r="6" spans="1:9">
      <c r="A6" s="3">
        <v>3</v>
      </c>
      <c r="B6" s="4" t="str">
        <f>'2ข้อมูลปันส่วน'!B8</f>
        <v>สถาปัตยกรรมศาสตร์</v>
      </c>
      <c r="C6" s="5">
        <f>'2ข้อมูลปันส่วน'!C8</f>
        <v>289</v>
      </c>
      <c r="D6" s="5">
        <f>'2ข้อมูลปันส่วน'!H4/'2ข้อมูลปันส่วน'!C21*'3ปันส่วนคณะ'!C6</f>
        <v>1779220.1050110913</v>
      </c>
      <c r="E6" s="5">
        <f>'2ข้อมูลปันส่วน'!D8</f>
        <v>900</v>
      </c>
      <c r="F6" s="5">
        <f>'2ข้อมูลปันส่วน'!I4/'2ข้อมูลปันส่วน'!D21*'2ข้อมูลปันส่วน'!D8</f>
        <v>5869397.3341935491</v>
      </c>
      <c r="G6" s="6">
        <f>'2ข้อมูลปันส่วน'!E8</f>
        <v>35</v>
      </c>
      <c r="H6" s="5">
        <f>'2ข้อมูลปันส่วน'!J4/'2ข้อมูลปันส่วน'!E21*'2ข้อมูลปันส่วน'!E8</f>
        <v>712733.97096774192</v>
      </c>
      <c r="I6" s="115">
        <f t="shared" ref="I6:I18" si="0">D6+F6+H6</f>
        <v>8361351.4101723824</v>
      </c>
    </row>
    <row r="7" spans="1:9">
      <c r="A7" s="3">
        <v>4</v>
      </c>
      <c r="B7" s="4" t="str">
        <f>'2ข้อมูลปันส่วน'!B9</f>
        <v>วิศวกรรมศาสตร์</v>
      </c>
      <c r="C7" s="5">
        <f>'2ข้อมูลปันส่วน'!C9</f>
        <v>1531</v>
      </c>
      <c r="D7" s="5">
        <f>'2ข้อมูลปันส่วน'!H4/'2ข้อมูลปันส่วน'!C21*'3ปันส่วนคณะ'!C7</f>
        <v>9425557.0268926676</v>
      </c>
      <c r="E7" s="5">
        <f>'2ข้อมูลปันส่วน'!D9</f>
        <v>2000</v>
      </c>
      <c r="F7" s="5">
        <f>'2ข้อมูลปันส่วน'!I4/'2ข้อมูลปันส่วน'!D21*'2ข้อมูลปันส่วน'!D9</f>
        <v>13043105.187096775</v>
      </c>
      <c r="G7" s="6">
        <f>'2ข้อมูลปันส่วน'!E9</f>
        <v>75</v>
      </c>
      <c r="H7" s="5">
        <f>'2ข้อมูลปันส่วน'!J4/'2ข้อมูลปันส่วน'!E21*'2ข้อมูลปันส่วน'!E9</f>
        <v>1527287.0806451612</v>
      </c>
      <c r="I7" s="115">
        <f t="shared" si="0"/>
        <v>23995949.294634607</v>
      </c>
    </row>
    <row r="8" spans="1:9">
      <c r="A8" s="3">
        <v>5</v>
      </c>
      <c r="B8" s="4" t="str">
        <f>'2ข้อมูลปันส่วน'!B10</f>
        <v>ครุศาสตร์ศาสตร์</v>
      </c>
      <c r="C8" s="5">
        <f>'2ข้อมูลปันส่วน'!C10</f>
        <v>2531</v>
      </c>
      <c r="D8" s="5">
        <f>'2ข้อมูลปันส่วน'!H4/'2ข้อมูลปันส่วน'!C21*'3ปันส่วนคณะ'!C8</f>
        <v>15582027.97848814</v>
      </c>
      <c r="E8" s="5">
        <f>'2ข้อมูลปันส่วน'!D10</f>
        <v>2500</v>
      </c>
      <c r="F8" s="5">
        <f>'2ข้อมูลปันส่วน'!I4/'2ข้อมูลปันส่วน'!D21*'2ข้อมูลปันส่วน'!D10</f>
        <v>16303881.483870968</v>
      </c>
      <c r="G8" s="6">
        <f>'2ข้อมูลปันส่วน'!E10</f>
        <v>100</v>
      </c>
      <c r="H8" s="5">
        <f>'2ข้อมูลปันส่วน'!J4/'2ข้อมูลปันส่วน'!E21*'2ข้อมูลปันส่วน'!E10</f>
        <v>2036382.7741935481</v>
      </c>
      <c r="I8" s="115">
        <f t="shared" si="0"/>
        <v>33922292.236552656</v>
      </c>
    </row>
    <row r="9" spans="1:9">
      <c r="A9" s="3">
        <v>6</v>
      </c>
      <c r="B9" s="4">
        <f>'2ข้อมูลปันส่วน'!B11</f>
        <v>0</v>
      </c>
      <c r="C9" s="5">
        <f>'2ข้อมูลปันส่วน'!C11</f>
        <v>0</v>
      </c>
      <c r="D9" s="5">
        <f>'2ข้อมูลปันส่วน'!H4/'2ข้อมูลปันส่วน'!C21*'3ปันส่วนคณะ'!C9</f>
        <v>0</v>
      </c>
      <c r="E9" s="5">
        <f>'2ข้อมูลปันส่วน'!D11</f>
        <v>0</v>
      </c>
      <c r="F9" s="5">
        <f>'2ข้อมูลปันส่วน'!I4/'2ข้อมูลปันส่วน'!D21*'2ข้อมูลปันส่วน'!D11</f>
        <v>0</v>
      </c>
      <c r="G9" s="6">
        <f>'2ข้อมูลปันส่วน'!E11</f>
        <v>0</v>
      </c>
      <c r="H9" s="5">
        <f>'2ข้อมูลปันส่วน'!J4/'2ข้อมูลปันส่วน'!E21*'2ข้อมูลปันส่วน'!E11</f>
        <v>0</v>
      </c>
      <c r="I9" s="5">
        <f t="shared" si="0"/>
        <v>0</v>
      </c>
    </row>
    <row r="10" spans="1:9">
      <c r="A10" s="3">
        <v>7</v>
      </c>
      <c r="B10" s="4">
        <f>'2ข้อมูลปันส่วน'!B12</f>
        <v>0</v>
      </c>
      <c r="C10" s="5">
        <f>'2ข้อมูลปันส่วน'!C12</f>
        <v>0</v>
      </c>
      <c r="D10" s="5">
        <f>'2ข้อมูลปันส่วน'!H4/'2ข้อมูลปันส่วน'!C21*'3ปันส่วนคณะ'!C10</f>
        <v>0</v>
      </c>
      <c r="E10" s="5">
        <f>'2ข้อมูลปันส่วน'!D12</f>
        <v>0</v>
      </c>
      <c r="F10" s="5">
        <f>'2ข้อมูลปันส่วน'!I4/'2ข้อมูลปันส่วน'!D21*'2ข้อมูลปันส่วน'!D12</f>
        <v>0</v>
      </c>
      <c r="G10" s="6">
        <f>'2ข้อมูลปันส่วน'!E12</f>
        <v>0</v>
      </c>
      <c r="H10" s="5">
        <f>'2ข้อมูลปันส่วน'!J4/'2ข้อมูลปันส่วน'!E21*'2ข้อมูลปันส่วน'!E12</f>
        <v>0</v>
      </c>
      <c r="I10" s="5">
        <f t="shared" si="0"/>
        <v>0</v>
      </c>
    </row>
    <row r="11" spans="1:9">
      <c r="A11" s="3">
        <v>8</v>
      </c>
      <c r="B11" s="4">
        <f>'2ข้อมูลปันส่วน'!B13</f>
        <v>0</v>
      </c>
      <c r="C11" s="5">
        <f>'2ข้อมูลปันส่วน'!C13</f>
        <v>0</v>
      </c>
      <c r="D11" s="5">
        <f>'2ข้อมูลปันส่วน'!H4/'2ข้อมูลปันส่วน'!C21*'3ปันส่วนคณะ'!C11</f>
        <v>0</v>
      </c>
      <c r="E11" s="5">
        <f>'2ข้อมูลปันส่วน'!D13</f>
        <v>0</v>
      </c>
      <c r="F11" s="5">
        <f>'2ข้อมูลปันส่วน'!I4/'2ข้อมูลปันส่วน'!D21*'2ข้อมูลปันส่วน'!D13</f>
        <v>0</v>
      </c>
      <c r="G11" s="6">
        <f>'2ข้อมูลปันส่วน'!E13</f>
        <v>0</v>
      </c>
      <c r="H11" s="5">
        <f>'2ข้อมูลปันส่วน'!J4/'2ข้อมูลปันส่วน'!E21*'2ข้อมูลปันส่วน'!E13</f>
        <v>0</v>
      </c>
      <c r="I11" s="5">
        <f t="shared" si="0"/>
        <v>0</v>
      </c>
    </row>
    <row r="12" spans="1:9">
      <c r="A12" s="3">
        <v>9</v>
      </c>
      <c r="B12" s="4">
        <f>'2ข้อมูลปันส่วน'!B14</f>
        <v>0</v>
      </c>
      <c r="C12" s="5">
        <f>'2ข้อมูลปันส่วน'!C14</f>
        <v>0</v>
      </c>
      <c r="D12" s="5">
        <f>'2ข้อมูลปันส่วน'!H4/'2ข้อมูลปันส่วน'!C21*'3ปันส่วนคณะ'!C12</f>
        <v>0</v>
      </c>
      <c r="E12" s="5">
        <f>'2ข้อมูลปันส่วน'!D14</f>
        <v>0</v>
      </c>
      <c r="F12" s="5">
        <f>'2ข้อมูลปันส่วน'!I4/'2ข้อมูลปันส่วน'!D21*'2ข้อมูลปันส่วน'!D14</f>
        <v>0</v>
      </c>
      <c r="G12" s="6">
        <f>'2ข้อมูลปันส่วน'!E14</f>
        <v>0</v>
      </c>
      <c r="H12" s="5">
        <f>'2ข้อมูลปันส่วน'!J4/'2ข้อมูลปันส่วน'!E21*'2ข้อมูลปันส่วน'!E14</f>
        <v>0</v>
      </c>
      <c r="I12" s="5">
        <f t="shared" si="0"/>
        <v>0</v>
      </c>
    </row>
    <row r="13" spans="1:9">
      <c r="A13" s="3">
        <v>10</v>
      </c>
      <c r="B13" s="4">
        <f>'2ข้อมูลปันส่วน'!B15</f>
        <v>0</v>
      </c>
      <c r="C13" s="5">
        <f>'2ข้อมูลปันส่วน'!C15</f>
        <v>0</v>
      </c>
      <c r="D13" s="5">
        <f>'2ข้อมูลปันส่วน'!H4/'2ข้อมูลปันส่วน'!C21*'3ปันส่วนคณะ'!C13</f>
        <v>0</v>
      </c>
      <c r="E13" s="5">
        <f>'2ข้อมูลปันส่วน'!D15</f>
        <v>0</v>
      </c>
      <c r="F13" s="5">
        <f>'2ข้อมูลปันส่วน'!I4/'2ข้อมูลปันส่วน'!D21*'2ข้อมูลปันส่วน'!D15</f>
        <v>0</v>
      </c>
      <c r="G13" s="6">
        <f>'2ข้อมูลปันส่วน'!E15</f>
        <v>0</v>
      </c>
      <c r="H13" s="5">
        <f>'2ข้อมูลปันส่วน'!J4/'2ข้อมูลปันส่วน'!E21*'2ข้อมูลปันส่วน'!E15</f>
        <v>0</v>
      </c>
      <c r="I13" s="5">
        <f t="shared" si="0"/>
        <v>0</v>
      </c>
    </row>
    <row r="14" spans="1:9">
      <c r="A14" s="3">
        <v>11</v>
      </c>
      <c r="B14" s="4">
        <f>'2ข้อมูลปันส่วน'!B16</f>
        <v>0</v>
      </c>
      <c r="C14" s="5">
        <f>'2ข้อมูลปันส่วน'!C16</f>
        <v>0</v>
      </c>
      <c r="D14" s="5">
        <f>'2ข้อมูลปันส่วน'!H4/'2ข้อมูลปันส่วน'!C21*'3ปันส่วนคณะ'!C14</f>
        <v>0</v>
      </c>
      <c r="E14" s="5">
        <f>'2ข้อมูลปันส่วน'!D16</f>
        <v>0</v>
      </c>
      <c r="F14" s="5">
        <f>'2ข้อมูลปันส่วน'!I4/'2ข้อมูลปันส่วน'!D21*'2ข้อมูลปันส่วน'!D16</f>
        <v>0</v>
      </c>
      <c r="G14" s="6">
        <f>'2ข้อมูลปันส่วน'!E16</f>
        <v>0</v>
      </c>
      <c r="H14" s="5">
        <f>'2ข้อมูลปันส่วน'!J4/'2ข้อมูลปันส่วน'!E21*'2ข้อมูลปันส่วน'!E16</f>
        <v>0</v>
      </c>
      <c r="I14" s="5">
        <f t="shared" si="0"/>
        <v>0</v>
      </c>
    </row>
    <row r="15" spans="1:9">
      <c r="A15" s="3">
        <v>12</v>
      </c>
      <c r="B15" s="4">
        <f>'2ข้อมูลปันส่วน'!B17</f>
        <v>0</v>
      </c>
      <c r="C15" s="5">
        <f>'2ข้อมูลปันส่วน'!C17</f>
        <v>0</v>
      </c>
      <c r="D15" s="5">
        <f>'2ข้อมูลปันส่วน'!H4/'2ข้อมูลปันส่วน'!C21*'3ปันส่วนคณะ'!C15</f>
        <v>0</v>
      </c>
      <c r="E15" s="5">
        <f>'2ข้อมูลปันส่วน'!D17</f>
        <v>0</v>
      </c>
      <c r="F15" s="5">
        <f>'2ข้อมูลปันส่วน'!I4/'2ข้อมูลปันส่วน'!D21*'2ข้อมูลปันส่วน'!D17</f>
        <v>0</v>
      </c>
      <c r="G15" s="6">
        <f>'2ข้อมูลปันส่วน'!E17</f>
        <v>0</v>
      </c>
      <c r="H15" s="5">
        <f>'2ข้อมูลปันส่วน'!J4/'2ข้อมูลปันส่วน'!E21*'2ข้อมูลปันส่วน'!E17</f>
        <v>0</v>
      </c>
      <c r="I15" s="5">
        <f t="shared" si="0"/>
        <v>0</v>
      </c>
    </row>
    <row r="16" spans="1:9">
      <c r="A16" s="3">
        <v>13</v>
      </c>
      <c r="B16" s="4">
        <f>'2ข้อมูลปันส่วน'!B18</f>
        <v>0</v>
      </c>
      <c r="C16" s="5">
        <f>'2ข้อมูลปันส่วน'!C18</f>
        <v>0</v>
      </c>
      <c r="D16" s="5">
        <f>'2ข้อมูลปันส่วน'!H4/'2ข้อมูลปันส่วน'!C21*'3ปันส่วนคณะ'!C16</f>
        <v>0</v>
      </c>
      <c r="E16" s="5">
        <f>'2ข้อมูลปันส่วน'!D18</f>
        <v>0</v>
      </c>
      <c r="F16" s="5">
        <f>'2ข้อมูลปันส่วน'!I4/'2ข้อมูลปันส่วน'!D21*'2ข้อมูลปันส่วน'!D18</f>
        <v>0</v>
      </c>
      <c r="G16" s="6">
        <f>'2ข้อมูลปันส่วน'!E18</f>
        <v>0</v>
      </c>
      <c r="H16" s="5">
        <f>'2ข้อมูลปันส่วน'!J4/'2ข้อมูลปันส่วน'!E21*'2ข้อมูลปันส่วน'!E18</f>
        <v>0</v>
      </c>
      <c r="I16" s="5">
        <f t="shared" si="0"/>
        <v>0</v>
      </c>
    </row>
    <row r="17" spans="1:9">
      <c r="A17" s="3">
        <v>14</v>
      </c>
      <c r="B17" s="4">
        <f>'2ข้อมูลปันส่วน'!B19</f>
        <v>0</v>
      </c>
      <c r="C17" s="5">
        <f>'2ข้อมูลปันส่วน'!C19</f>
        <v>0</v>
      </c>
      <c r="D17" s="5">
        <f>'2ข้อมูลปันส่วน'!H4/'2ข้อมูลปันส่วน'!C21*'3ปันส่วนคณะ'!C17</f>
        <v>0</v>
      </c>
      <c r="E17" s="5">
        <f>'2ข้อมูลปันส่วน'!D19</f>
        <v>0</v>
      </c>
      <c r="F17" s="5">
        <f>'2ข้อมูลปันส่วน'!I4/'2ข้อมูลปันส่วน'!D21*'2ข้อมูลปันส่วน'!D19</f>
        <v>0</v>
      </c>
      <c r="G17" s="6">
        <f>'2ข้อมูลปันส่วน'!E19</f>
        <v>0</v>
      </c>
      <c r="H17" s="5">
        <f>'2ข้อมูลปันส่วน'!J4/'2ข้อมูลปันส่วน'!E21*'2ข้อมูลปันส่วน'!E19</f>
        <v>0</v>
      </c>
      <c r="I17" s="5">
        <f t="shared" si="0"/>
        <v>0</v>
      </c>
    </row>
    <row r="18" spans="1:9">
      <c r="A18" s="3">
        <v>15</v>
      </c>
      <c r="B18" s="4">
        <f>'2ข้อมูลปันส่วน'!B20</f>
        <v>0</v>
      </c>
      <c r="C18" s="5">
        <f>'2ข้อมูลปันส่วน'!C20</f>
        <v>0</v>
      </c>
      <c r="D18" s="5">
        <f>'2ข้อมูลปันส่วน'!H4/'2ข้อมูลปันส่วน'!C21*'3ปันส่วนคณะ'!C18</f>
        <v>0</v>
      </c>
      <c r="E18" s="5">
        <f>'2ข้อมูลปันส่วน'!D20</f>
        <v>0</v>
      </c>
      <c r="F18" s="5">
        <f>'2ข้อมูลปันส่วน'!I4/'2ข้อมูลปันส่วน'!D21*'2ข้อมูลปันส่วน'!D20</f>
        <v>0</v>
      </c>
      <c r="G18" s="6">
        <f>'2ข้อมูลปันส่วน'!E20</f>
        <v>0</v>
      </c>
      <c r="H18" s="5">
        <f>'2ข้อมูลปันส่วน'!J4/'2ข้อมูลปันส่วน'!E21*'2ข้อมูลปันส่วน'!E20</f>
        <v>0</v>
      </c>
      <c r="I18" s="5">
        <f t="shared" si="0"/>
        <v>0</v>
      </c>
    </row>
    <row r="19" spans="1:9">
      <c r="A19" s="232" t="s">
        <v>1</v>
      </c>
      <c r="B19" s="232"/>
      <c r="C19" s="7">
        <f>SUM(C4:C18)</f>
        <v>17581</v>
      </c>
      <c r="D19" s="7">
        <f t="shared" ref="D19:I19" si="1">SUM(D4:D18)</f>
        <v>108236915.79999998</v>
      </c>
      <c r="E19" s="7">
        <f t="shared" si="1"/>
        <v>7750</v>
      </c>
      <c r="F19" s="7">
        <f t="shared" si="1"/>
        <v>50542032.600000001</v>
      </c>
      <c r="G19" s="7">
        <f t="shared" si="1"/>
        <v>310</v>
      </c>
      <c r="H19" s="7">
        <f t="shared" si="1"/>
        <v>6312786.5999999996</v>
      </c>
      <c r="I19" s="116">
        <f t="shared" si="1"/>
        <v>165091735</v>
      </c>
    </row>
    <row r="21" spans="1:9" ht="29.25">
      <c r="A21" s="113" t="str">
        <f>"ตารางสรุปการปันค่าใช้จ่ายทางอ้อมให้หลักสูตร/ สาขาวิชา   "&amp;กรอกข้อมูล!H1</f>
        <v>ตารางสรุปการปันค่าใช้จ่ายทางอ้อมให้หลักสูตร/ สาขาวิชา   เทคโนโลยีชีวภาพ</v>
      </c>
    </row>
    <row r="23" spans="1:9" ht="26.25">
      <c r="A23" s="230" t="str">
        <f>"รวมค่าใช้จ่ายทางอ้อมปันค่าใช้จ่ายให้คณะ" &amp;E1&amp; " (บาท)"</f>
        <v>รวมค่าใช้จ่ายทางอ้อมปันค่าใช้จ่ายให้คณะวิทยาศาสตร์และเทคโนโลยี (บาท)</v>
      </c>
      <c r="B23" s="231"/>
      <c r="C23" s="231"/>
      <c r="D23" s="231"/>
      <c r="E23" s="231"/>
      <c r="F23" s="114">
        <f>SUMIF(B4:B18,E1,I4:I18)</f>
        <v>86975010.097526833</v>
      </c>
    </row>
    <row r="24" spans="1:9" ht="26.25">
      <c r="A24" s="234" t="str">
        <f>"FTESทั้งหมดในคณะ"&amp;E1</f>
        <v>FTESทั้งหมดในคณะวิทยาศาสตร์และเทคโนโลยี</v>
      </c>
      <c r="B24" s="231"/>
      <c r="C24" s="231"/>
      <c r="D24" s="231"/>
      <c r="E24" s="231"/>
      <c r="F24" s="123">
        <f>SUMIF(B4:B18,E1,D4:D18)</f>
        <v>75970851.542688116</v>
      </c>
    </row>
    <row r="25" spans="1:9" ht="26.25">
      <c r="A25" s="234" t="str">
        <f>"FTES ทั้งหมดในสาขาวิชา"&amp;กรอกข้อมูล!H1</f>
        <v>FTES ทั้งหมดในสาขาวิชาเทคโนโลยีชีวภาพ</v>
      </c>
      <c r="B25" s="231"/>
      <c r="C25" s="231"/>
      <c r="D25" s="231"/>
      <c r="E25" s="231"/>
      <c r="F25" s="118">
        <f>กรอกข้อมูล!D38</f>
        <v>200</v>
      </c>
    </row>
    <row r="26" spans="1:9" ht="26.25">
      <c r="A26" s="230" t="s">
        <v>90</v>
      </c>
      <c r="B26" s="231"/>
      <c r="C26" s="231"/>
      <c r="D26" s="231"/>
      <c r="E26" s="231"/>
      <c r="F26" s="117">
        <f>F23*F25/F24</f>
        <v>228.96942269669168</v>
      </c>
    </row>
  </sheetData>
  <sheetProtection algorithmName="SHA-512" hashValue="/WOVfBUfA8Bev9o3/TN5gekPVoliNXd0wm8ufxTmtE6Y7Xuhi5nmz2DRITeEpDN0mLzPd2QZwU5E2H6hqXQNrQ==" saltValue="mrAkoJP8eH8lVx6FKjvNyQ==" spinCount="100000" sheet="1" objects="1" scenarios="1"/>
  <mergeCells count="6">
    <mergeCell ref="A26:E26"/>
    <mergeCell ref="A19:B19"/>
    <mergeCell ref="E1:G1"/>
    <mergeCell ref="A23:E23"/>
    <mergeCell ref="A24:E24"/>
    <mergeCell ref="A25:E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K13" sqref="K13"/>
    </sheetView>
  </sheetViews>
  <sheetFormatPr defaultColWidth="8.85546875" defaultRowHeight="23.25"/>
  <cols>
    <col min="1" max="1" width="5.7109375" style="162" customWidth="1"/>
    <col min="2" max="2" width="26.140625" style="162" customWidth="1"/>
    <col min="3" max="3" width="8" style="162" customWidth="1"/>
    <col min="4" max="4" width="8.85546875" style="162"/>
    <col min="5" max="5" width="11.7109375" style="162" customWidth="1"/>
    <col min="6" max="6" width="10.140625" style="162" customWidth="1"/>
    <col min="7" max="9" width="8.85546875" style="162"/>
    <col min="10" max="10" width="13.28515625" style="162" customWidth="1"/>
    <col min="11" max="11" width="14.5703125" style="162" customWidth="1"/>
    <col min="12" max="12" width="12.28515625" style="162" customWidth="1"/>
    <col min="13" max="16384" width="8.85546875" style="162"/>
  </cols>
  <sheetData>
    <row r="1" spans="1:11" s="143" customFormat="1" ht="31.15" customHeight="1">
      <c r="E1" s="142" t="str">
        <f>"มหาวิทยาลัย"&amp;กรอกข้อมูล!E1</f>
        <v>มหาวิทยาลัยราชภัฏเพชรบุรี</v>
      </c>
      <c r="H1" s="144"/>
      <c r="I1" s="144"/>
    </row>
    <row r="2" spans="1:11" s="146" customFormat="1" ht="30.6" customHeight="1">
      <c r="A2" s="145" t="s">
        <v>186</v>
      </c>
      <c r="H2" s="147"/>
      <c r="I2" s="147"/>
      <c r="J2" s="148">
        <f>กรอกข้อมูล!E2</f>
        <v>2559</v>
      </c>
    </row>
    <row r="3" spans="1:11" s="150" customFormat="1" ht="46.15" customHeight="1">
      <c r="A3" s="149" t="s">
        <v>187</v>
      </c>
      <c r="B3" s="149" t="s">
        <v>188</v>
      </c>
      <c r="C3" s="149" t="s">
        <v>189</v>
      </c>
      <c r="D3" s="149" t="s">
        <v>190</v>
      </c>
      <c r="E3" s="149" t="s">
        <v>191</v>
      </c>
      <c r="F3" s="149" t="s">
        <v>192</v>
      </c>
      <c r="G3" s="149" t="s">
        <v>193</v>
      </c>
      <c r="H3" s="149" t="s">
        <v>194</v>
      </c>
      <c r="I3" s="149" t="s">
        <v>195</v>
      </c>
      <c r="J3" s="149" t="s">
        <v>196</v>
      </c>
      <c r="K3" s="149" t="s">
        <v>197</v>
      </c>
    </row>
    <row r="4" spans="1:11" s="143" customFormat="1" ht="24" customHeight="1">
      <c r="A4" s="171">
        <v>1</v>
      </c>
      <c r="B4" s="170" t="s">
        <v>198</v>
      </c>
      <c r="C4" s="186">
        <v>2523</v>
      </c>
      <c r="D4" s="172">
        <v>2523</v>
      </c>
      <c r="E4" s="173">
        <v>6500000</v>
      </c>
      <c r="F4" s="152">
        <f>SUM(F5:F6)</f>
        <v>1000.6</v>
      </c>
      <c r="G4" s="153"/>
      <c r="H4" s="172">
        <v>40</v>
      </c>
      <c r="I4" s="151">
        <f>J$2-D4+1</f>
        <v>37</v>
      </c>
      <c r="J4" s="154"/>
      <c r="K4" s="170" t="s">
        <v>215</v>
      </c>
    </row>
    <row r="5" spans="1:11" s="143" customFormat="1" ht="19.149999999999999" customHeight="1">
      <c r="A5" s="175"/>
      <c r="B5" s="174" t="s">
        <v>61</v>
      </c>
      <c r="C5" s="187"/>
      <c r="D5" s="176"/>
      <c r="E5" s="177"/>
      <c r="F5" s="183">
        <v>499.8</v>
      </c>
      <c r="G5" s="156">
        <f>F5/F$4</f>
        <v>0.49950029982010796</v>
      </c>
      <c r="H5" s="184"/>
      <c r="I5" s="157"/>
      <c r="J5" s="167">
        <f t="shared" ref="J5:J6" si="0">IF(I$4&lt;=H$4,G5*E$4/H$4,0)</f>
        <v>81168.798720767547</v>
      </c>
      <c r="K5" s="190" t="s">
        <v>2</v>
      </c>
    </row>
    <row r="6" spans="1:11" s="143" customFormat="1" ht="19.149999999999999" customHeight="1">
      <c r="A6" s="184"/>
      <c r="B6" s="174" t="s">
        <v>61</v>
      </c>
      <c r="C6" s="188"/>
      <c r="D6" s="178"/>
      <c r="E6" s="179"/>
      <c r="F6" s="183">
        <v>500.8</v>
      </c>
      <c r="G6" s="156">
        <f>F6/F$4</f>
        <v>0.50049970017989209</v>
      </c>
      <c r="H6" s="184"/>
      <c r="I6" s="157"/>
      <c r="J6" s="167">
        <f t="shared" si="0"/>
        <v>81331.201279232468</v>
      </c>
      <c r="K6" s="190" t="s">
        <v>2</v>
      </c>
    </row>
    <row r="7" spans="1:11" s="143" customFormat="1" ht="18" customHeight="1">
      <c r="A7" s="185">
        <v>2</v>
      </c>
      <c r="B7" s="180" t="s">
        <v>199</v>
      </c>
      <c r="C7" s="189">
        <v>2529</v>
      </c>
      <c r="D7" s="181">
        <v>2529</v>
      </c>
      <c r="E7" s="182">
        <v>1000000</v>
      </c>
      <c r="F7" s="159"/>
      <c r="G7" s="160"/>
      <c r="H7" s="181">
        <v>40</v>
      </c>
      <c r="I7" s="151">
        <f>J$2-D7+1</f>
        <v>31</v>
      </c>
      <c r="J7" s="168"/>
      <c r="K7" s="180" t="s">
        <v>216</v>
      </c>
    </row>
    <row r="8" spans="1:11" s="143" customFormat="1" ht="14.25" customHeight="1">
      <c r="A8" s="184"/>
      <c r="B8" s="174" t="s">
        <v>61</v>
      </c>
      <c r="C8" s="188"/>
      <c r="D8" s="178"/>
      <c r="E8" s="179"/>
      <c r="F8" s="158"/>
      <c r="G8" s="161">
        <v>1</v>
      </c>
      <c r="H8" s="178"/>
      <c r="I8" s="157"/>
      <c r="J8" s="167">
        <f>IF(I7&lt;=H7,G8*E7/H7,0)</f>
        <v>25000</v>
      </c>
      <c r="K8" s="190" t="s">
        <v>2</v>
      </c>
    </row>
    <row r="9" spans="1:11" s="143" customFormat="1" ht="19.899999999999999" customHeight="1">
      <c r="A9" s="185">
        <v>3</v>
      </c>
      <c r="B9" s="180" t="s">
        <v>200</v>
      </c>
      <c r="C9" s="189"/>
      <c r="D9" s="181">
        <v>2543</v>
      </c>
      <c r="E9" s="182">
        <v>350000</v>
      </c>
      <c r="F9" s="159"/>
      <c r="G9" s="160"/>
      <c r="H9" s="181">
        <v>30</v>
      </c>
      <c r="I9" s="151">
        <f>J$2-D9+1</f>
        <v>17</v>
      </c>
      <c r="J9" s="168"/>
      <c r="K9" s="180" t="s">
        <v>217</v>
      </c>
    </row>
    <row r="10" spans="1:11" s="143" customFormat="1" ht="14.25" customHeight="1">
      <c r="A10" s="184"/>
      <c r="B10" s="174" t="s">
        <v>61</v>
      </c>
      <c r="C10" s="188"/>
      <c r="D10" s="178"/>
      <c r="E10" s="179"/>
      <c r="F10" s="158"/>
      <c r="G10" s="161">
        <v>1</v>
      </c>
      <c r="H10" s="178"/>
      <c r="I10" s="157"/>
      <c r="J10" s="167">
        <f>IF(I9&lt;=H9,G10*E9/H9,0)</f>
        <v>11666.666666666666</v>
      </c>
      <c r="K10" s="190" t="s">
        <v>2</v>
      </c>
    </row>
    <row r="11" spans="1:11">
      <c r="A11" s="171">
        <v>4</v>
      </c>
      <c r="B11" s="170" t="s">
        <v>198</v>
      </c>
      <c r="C11" s="186"/>
      <c r="D11" s="172">
        <v>2523</v>
      </c>
      <c r="E11" s="173">
        <v>6500000</v>
      </c>
      <c r="F11" s="152">
        <f>SUM(F12:F12)</f>
        <v>500.8</v>
      </c>
      <c r="G11" s="153"/>
      <c r="H11" s="172">
        <v>20</v>
      </c>
      <c r="I11" s="151">
        <f>J$2-D11+1</f>
        <v>37</v>
      </c>
      <c r="J11" s="169"/>
      <c r="K11" s="170" t="s">
        <v>215</v>
      </c>
    </row>
    <row r="12" spans="1:11">
      <c r="A12" s="184"/>
      <c r="B12" s="174" t="s">
        <v>61</v>
      </c>
      <c r="C12" s="188"/>
      <c r="D12" s="178"/>
      <c r="E12" s="179"/>
      <c r="F12" s="155">
        <v>500.8</v>
      </c>
      <c r="G12" s="156">
        <f>F12/F$4</f>
        <v>0.50049970017989209</v>
      </c>
      <c r="H12" s="178"/>
      <c r="I12" s="157"/>
      <c r="J12" s="167">
        <f t="shared" ref="J12" si="1">IF(I$4&lt;=H$4,G12*E$4/H$4,0)</f>
        <v>81331.201279232468</v>
      </c>
      <c r="K12" s="190" t="s">
        <v>2</v>
      </c>
    </row>
    <row r="13" spans="1:11">
      <c r="A13" s="185">
        <v>5</v>
      </c>
      <c r="B13" s="180" t="s">
        <v>199</v>
      </c>
      <c r="C13" s="189"/>
      <c r="D13" s="181">
        <v>2529</v>
      </c>
      <c r="E13" s="182">
        <v>1000000</v>
      </c>
      <c r="F13" s="159"/>
      <c r="G13" s="160"/>
      <c r="H13" s="181">
        <v>25</v>
      </c>
      <c r="I13" s="151">
        <f>J$2-D13+1</f>
        <v>31</v>
      </c>
      <c r="J13" s="168"/>
      <c r="K13" s="180" t="s">
        <v>61</v>
      </c>
    </row>
    <row r="14" spans="1:11">
      <c r="A14" s="184"/>
      <c r="B14" s="174" t="s">
        <v>61</v>
      </c>
      <c r="C14" s="188"/>
      <c r="D14" s="178"/>
      <c r="E14" s="179"/>
      <c r="F14" s="158"/>
      <c r="G14" s="161">
        <v>1</v>
      </c>
      <c r="H14" s="178"/>
      <c r="I14" s="157"/>
      <c r="J14" s="167">
        <f>IF(I13&lt;=H13,G14*E13/H13,0)</f>
        <v>0</v>
      </c>
      <c r="K14" s="190" t="s">
        <v>2</v>
      </c>
    </row>
    <row r="15" spans="1:11">
      <c r="A15" s="185">
        <v>6</v>
      </c>
      <c r="B15" s="180" t="s">
        <v>200</v>
      </c>
      <c r="C15" s="189"/>
      <c r="D15" s="181">
        <v>2543</v>
      </c>
      <c r="E15" s="182">
        <v>350000</v>
      </c>
      <c r="F15" s="159"/>
      <c r="G15" s="160"/>
      <c r="H15" s="181">
        <v>10</v>
      </c>
      <c r="I15" s="151">
        <f>J$2-D15+1</f>
        <v>17</v>
      </c>
      <c r="J15" s="168"/>
      <c r="K15" s="180" t="s">
        <v>61</v>
      </c>
    </row>
    <row r="16" spans="1:11">
      <c r="A16" s="184"/>
      <c r="B16" s="174" t="s">
        <v>61</v>
      </c>
      <c r="C16" s="188"/>
      <c r="D16" s="178"/>
      <c r="E16" s="179"/>
      <c r="F16" s="158"/>
      <c r="G16" s="161">
        <v>1</v>
      </c>
      <c r="H16" s="178"/>
      <c r="I16" s="157"/>
      <c r="J16" s="167">
        <f>IF(I15&lt;=H15,G16*E15/H15,0)</f>
        <v>0</v>
      </c>
      <c r="K16" s="190" t="s">
        <v>2</v>
      </c>
    </row>
    <row r="17" spans="1:11">
      <c r="A17" s="171">
        <v>7</v>
      </c>
      <c r="B17" s="170" t="s">
        <v>198</v>
      </c>
      <c r="C17" s="186"/>
      <c r="D17" s="172">
        <v>2523</v>
      </c>
      <c r="E17" s="173">
        <v>6500000</v>
      </c>
      <c r="F17" s="152">
        <f>SUM(F18:F18)</f>
        <v>500.8</v>
      </c>
      <c r="G17" s="153"/>
      <c r="H17" s="172">
        <v>30</v>
      </c>
      <c r="I17" s="151">
        <f>J$2-D17+1</f>
        <v>37</v>
      </c>
      <c r="J17" s="169"/>
      <c r="K17" s="170"/>
    </row>
    <row r="18" spans="1:11">
      <c r="A18" s="184"/>
      <c r="B18" s="174" t="s">
        <v>61</v>
      </c>
      <c r="C18" s="188"/>
      <c r="D18" s="178"/>
      <c r="E18" s="179"/>
      <c r="F18" s="155">
        <v>500.8</v>
      </c>
      <c r="G18" s="156">
        <f>F18/F$4</f>
        <v>0.50049970017989209</v>
      </c>
      <c r="H18" s="178"/>
      <c r="I18" s="157"/>
      <c r="J18" s="167">
        <f t="shared" ref="J18" si="2">IF(I$4&lt;=H$4,G18*E$4/H$4,0)</f>
        <v>81331.201279232468</v>
      </c>
      <c r="K18" s="190" t="s">
        <v>2</v>
      </c>
    </row>
    <row r="19" spans="1:11">
      <c r="A19" s="185">
        <v>8</v>
      </c>
      <c r="B19" s="180" t="s">
        <v>199</v>
      </c>
      <c r="C19" s="189"/>
      <c r="D19" s="181">
        <v>2529</v>
      </c>
      <c r="E19" s="182">
        <v>1000000</v>
      </c>
      <c r="F19" s="159"/>
      <c r="G19" s="160"/>
      <c r="H19" s="181">
        <v>25</v>
      </c>
      <c r="I19" s="151">
        <f>J$2-D19+1</f>
        <v>31</v>
      </c>
      <c r="J19" s="168"/>
      <c r="K19" s="180" t="s">
        <v>61</v>
      </c>
    </row>
    <row r="20" spans="1:11">
      <c r="A20" s="184"/>
      <c r="B20" s="174" t="s">
        <v>61</v>
      </c>
      <c r="C20" s="188"/>
      <c r="D20" s="178"/>
      <c r="E20" s="179"/>
      <c r="F20" s="158"/>
      <c r="G20" s="161">
        <v>1</v>
      </c>
      <c r="H20" s="178"/>
      <c r="I20" s="157"/>
      <c r="J20" s="167">
        <f>IF(I19&lt;=H19,G20*E19/H19,0)</f>
        <v>0</v>
      </c>
      <c r="K20" s="190" t="s">
        <v>2</v>
      </c>
    </row>
    <row r="21" spans="1:11">
      <c r="A21" s="185">
        <v>9</v>
      </c>
      <c r="B21" s="180" t="s">
        <v>200</v>
      </c>
      <c r="C21" s="189"/>
      <c r="D21" s="181">
        <v>2543</v>
      </c>
      <c r="E21" s="182">
        <v>350000</v>
      </c>
      <c r="F21" s="159"/>
      <c r="G21" s="160"/>
      <c r="H21" s="181">
        <v>10</v>
      </c>
      <c r="I21" s="151">
        <f>J$2-D21+1</f>
        <v>17</v>
      </c>
      <c r="J21" s="168"/>
      <c r="K21" s="180" t="s">
        <v>61</v>
      </c>
    </row>
    <row r="22" spans="1:11">
      <c r="A22" s="184"/>
      <c r="B22" s="174" t="s">
        <v>61</v>
      </c>
      <c r="C22" s="188"/>
      <c r="D22" s="178"/>
      <c r="E22" s="179"/>
      <c r="F22" s="158"/>
      <c r="G22" s="161">
        <v>1</v>
      </c>
      <c r="H22" s="178"/>
      <c r="I22" s="157"/>
      <c r="J22" s="167">
        <f>IF(I21&lt;=H21,G22*E21/H21,0)</f>
        <v>0</v>
      </c>
      <c r="K22" s="190" t="s">
        <v>2</v>
      </c>
    </row>
    <row r="23" spans="1:11">
      <c r="A23" s="171">
        <v>10</v>
      </c>
      <c r="B23" s="170" t="s">
        <v>198</v>
      </c>
      <c r="C23" s="186"/>
      <c r="D23" s="172">
        <v>2523</v>
      </c>
      <c r="E23" s="173">
        <v>6500000</v>
      </c>
      <c r="F23" s="152">
        <f>SUM(F24:F24)</f>
        <v>500.8</v>
      </c>
      <c r="G23" s="153"/>
      <c r="H23" s="172">
        <v>30</v>
      </c>
      <c r="I23" s="151">
        <f>J$2-D23+1</f>
        <v>37</v>
      </c>
      <c r="J23" s="169"/>
      <c r="K23" s="170"/>
    </row>
    <row r="24" spans="1:11">
      <c r="A24" s="184"/>
      <c r="B24" s="174" t="s">
        <v>61</v>
      </c>
      <c r="C24" s="188"/>
      <c r="D24" s="178"/>
      <c r="E24" s="179"/>
      <c r="F24" s="155">
        <v>500.8</v>
      </c>
      <c r="G24" s="156">
        <f>F24/F$4</f>
        <v>0.50049970017989209</v>
      </c>
      <c r="H24" s="178"/>
      <c r="I24" s="157"/>
      <c r="J24" s="167">
        <f t="shared" ref="J24" si="3">IF(I$4&lt;=H$4,G24*E$4/H$4,0)</f>
        <v>81331.201279232468</v>
      </c>
      <c r="K24" s="190" t="s">
        <v>2</v>
      </c>
    </row>
    <row r="25" spans="1:11">
      <c r="A25" s="185">
        <v>11</v>
      </c>
      <c r="B25" s="180" t="s">
        <v>199</v>
      </c>
      <c r="C25" s="189"/>
      <c r="D25" s="181">
        <v>2529</v>
      </c>
      <c r="E25" s="182">
        <v>1000000</v>
      </c>
      <c r="F25" s="159"/>
      <c r="G25" s="160"/>
      <c r="H25" s="181">
        <v>25</v>
      </c>
      <c r="I25" s="151">
        <f>J$2-D25+1</f>
        <v>31</v>
      </c>
      <c r="J25" s="168"/>
      <c r="K25" s="180" t="s">
        <v>61</v>
      </c>
    </row>
    <row r="26" spans="1:11">
      <c r="A26" s="184"/>
      <c r="B26" s="174" t="s">
        <v>61</v>
      </c>
      <c r="C26" s="188"/>
      <c r="D26" s="178"/>
      <c r="E26" s="179"/>
      <c r="F26" s="158"/>
      <c r="G26" s="161">
        <v>1</v>
      </c>
      <c r="H26" s="178"/>
      <c r="I26" s="157"/>
      <c r="J26" s="167">
        <f>IF(I25&lt;=H25,G26*E25/H25,0)</f>
        <v>0</v>
      </c>
      <c r="K26" s="190" t="s">
        <v>2</v>
      </c>
    </row>
    <row r="27" spans="1:11">
      <c r="A27" s="185">
        <v>12</v>
      </c>
      <c r="B27" s="180" t="s">
        <v>200</v>
      </c>
      <c r="C27" s="189"/>
      <c r="D27" s="181">
        <v>2543</v>
      </c>
      <c r="E27" s="182">
        <v>350000</v>
      </c>
      <c r="F27" s="159"/>
      <c r="G27" s="160"/>
      <c r="H27" s="181">
        <v>10</v>
      </c>
      <c r="I27" s="151">
        <f>J$2-D27+1</f>
        <v>17</v>
      </c>
      <c r="J27" s="168"/>
      <c r="K27" s="180"/>
    </row>
    <row r="28" spans="1:11">
      <c r="A28" s="184"/>
      <c r="B28" s="174" t="s">
        <v>61</v>
      </c>
      <c r="C28" s="188"/>
      <c r="D28" s="178"/>
      <c r="E28" s="179"/>
      <c r="F28" s="158"/>
      <c r="G28" s="161">
        <v>1</v>
      </c>
      <c r="H28" s="178"/>
      <c r="I28" s="157"/>
      <c r="J28" s="167">
        <f>IF(I27&lt;=H27,G28*E27/H27,0)</f>
        <v>0</v>
      </c>
      <c r="K28" s="190" t="s">
        <v>2</v>
      </c>
    </row>
    <row r="29" spans="1:11">
      <c r="A29" s="185">
        <v>13</v>
      </c>
      <c r="B29" s="180" t="s">
        <v>199</v>
      </c>
      <c r="C29" s="189"/>
      <c r="D29" s="181">
        <v>2529</v>
      </c>
      <c r="E29" s="182">
        <v>1000000</v>
      </c>
      <c r="F29" s="159"/>
      <c r="G29" s="160"/>
      <c r="H29" s="181">
        <v>25</v>
      </c>
      <c r="I29" s="151">
        <f>J$2-D29+1</f>
        <v>31</v>
      </c>
      <c r="J29" s="168"/>
      <c r="K29" s="180"/>
    </row>
    <row r="30" spans="1:11">
      <c r="A30" s="184"/>
      <c r="B30" s="174" t="s">
        <v>61</v>
      </c>
      <c r="C30" s="188"/>
      <c r="D30" s="178"/>
      <c r="E30" s="179"/>
      <c r="F30" s="158"/>
      <c r="G30" s="161">
        <v>1</v>
      </c>
      <c r="H30" s="178"/>
      <c r="I30" s="157"/>
      <c r="J30" s="167">
        <f>IF(I29&lt;=H29,G30*E29/H29,0)</f>
        <v>0</v>
      </c>
      <c r="K30" s="190" t="s">
        <v>2</v>
      </c>
    </row>
    <row r="31" spans="1:11">
      <c r="A31" s="185">
        <v>14</v>
      </c>
      <c r="B31" s="180" t="s">
        <v>200</v>
      </c>
      <c r="C31" s="189"/>
      <c r="D31" s="181">
        <v>2543</v>
      </c>
      <c r="E31" s="182">
        <v>350000</v>
      </c>
      <c r="F31" s="159"/>
      <c r="G31" s="160"/>
      <c r="H31" s="181">
        <v>10</v>
      </c>
      <c r="I31" s="151">
        <f>J$2-D31+1</f>
        <v>17</v>
      </c>
      <c r="J31" s="168"/>
      <c r="K31" s="180"/>
    </row>
    <row r="32" spans="1:11">
      <c r="A32" s="184"/>
      <c r="B32" s="174" t="s">
        <v>61</v>
      </c>
      <c r="C32" s="188"/>
      <c r="D32" s="178"/>
      <c r="E32" s="179"/>
      <c r="F32" s="158"/>
      <c r="G32" s="161">
        <v>1</v>
      </c>
      <c r="H32" s="178"/>
      <c r="I32" s="157"/>
      <c r="J32" s="167">
        <f>IF(I31&lt;=H31,G32*E31/H31,0)</f>
        <v>0</v>
      </c>
      <c r="K32" s="190" t="s">
        <v>2</v>
      </c>
    </row>
    <row r="33" spans="1:11">
      <c r="A33" s="171">
        <v>15</v>
      </c>
      <c r="B33" s="170" t="s">
        <v>198</v>
      </c>
      <c r="C33" s="186"/>
      <c r="D33" s="172">
        <v>2523</v>
      </c>
      <c r="E33" s="173">
        <v>6500000</v>
      </c>
      <c r="F33" s="152">
        <f>SUM(F34:F34)</f>
        <v>500.8</v>
      </c>
      <c r="G33" s="153"/>
      <c r="H33" s="172">
        <v>30</v>
      </c>
      <c r="I33" s="151">
        <f>J$2-D33+1</f>
        <v>37</v>
      </c>
      <c r="J33" s="169"/>
      <c r="K33" s="170"/>
    </row>
    <row r="34" spans="1:11">
      <c r="A34" s="184"/>
      <c r="B34" s="174" t="s">
        <v>61</v>
      </c>
      <c r="C34" s="188"/>
      <c r="D34" s="178"/>
      <c r="E34" s="179"/>
      <c r="F34" s="155">
        <v>500.8</v>
      </c>
      <c r="G34" s="156">
        <f>F34/F$4</f>
        <v>0.50049970017989209</v>
      </c>
      <c r="H34" s="178"/>
      <c r="I34" s="157"/>
      <c r="J34" s="167">
        <f t="shared" ref="J34" si="4">IF(I$4&lt;=H$4,G34*E$4/H$4,0)</f>
        <v>81331.201279232468</v>
      </c>
      <c r="K34" s="190" t="s">
        <v>2</v>
      </c>
    </row>
    <row r="35" spans="1:11">
      <c r="A35" s="185">
        <v>16</v>
      </c>
      <c r="B35" s="180" t="s">
        <v>199</v>
      </c>
      <c r="C35" s="189"/>
      <c r="D35" s="181">
        <v>2529</v>
      </c>
      <c r="E35" s="182">
        <v>1000000</v>
      </c>
      <c r="F35" s="159"/>
      <c r="G35" s="160"/>
      <c r="H35" s="181">
        <v>25</v>
      </c>
      <c r="I35" s="151">
        <f>J$2-D35+1</f>
        <v>31</v>
      </c>
      <c r="J35" s="168"/>
      <c r="K35" s="180"/>
    </row>
    <row r="36" spans="1:11">
      <c r="A36" s="184"/>
      <c r="B36" s="174" t="s">
        <v>61</v>
      </c>
      <c r="C36" s="188"/>
      <c r="D36" s="178"/>
      <c r="E36" s="179"/>
      <c r="F36" s="158"/>
      <c r="G36" s="161">
        <v>1</v>
      </c>
      <c r="H36" s="178"/>
      <c r="I36" s="157"/>
      <c r="J36" s="167">
        <f>IF(I35&lt;=H35,G36*E35/H35,0)</f>
        <v>0</v>
      </c>
      <c r="K36" s="190" t="s">
        <v>2</v>
      </c>
    </row>
    <row r="37" spans="1:11">
      <c r="A37" s="185">
        <v>17</v>
      </c>
      <c r="B37" s="180" t="s">
        <v>200</v>
      </c>
      <c r="C37" s="189"/>
      <c r="D37" s="181">
        <v>2543</v>
      </c>
      <c r="E37" s="182">
        <v>350000</v>
      </c>
      <c r="F37" s="159"/>
      <c r="G37" s="160"/>
      <c r="H37" s="181">
        <v>10</v>
      </c>
      <c r="I37" s="151">
        <f>J$2-D37+1</f>
        <v>17</v>
      </c>
      <c r="J37" s="168"/>
      <c r="K37" s="180"/>
    </row>
    <row r="38" spans="1:11">
      <c r="A38" s="184"/>
      <c r="B38" s="174" t="s">
        <v>61</v>
      </c>
      <c r="C38" s="188"/>
      <c r="D38" s="178"/>
      <c r="E38" s="179"/>
      <c r="F38" s="158"/>
      <c r="G38" s="161">
        <v>1</v>
      </c>
      <c r="H38" s="178"/>
      <c r="I38" s="157"/>
      <c r="J38" s="167">
        <f>IF(I37&lt;=H37,G38*E37/H37,0)</f>
        <v>0</v>
      </c>
      <c r="K38" s="190" t="s">
        <v>2</v>
      </c>
    </row>
    <row r="39" spans="1:11">
      <c r="A39" s="171">
        <v>18</v>
      </c>
      <c r="B39" s="170" t="s">
        <v>198</v>
      </c>
      <c r="C39" s="186"/>
      <c r="D39" s="172">
        <v>2523</v>
      </c>
      <c r="E39" s="173">
        <v>6500000</v>
      </c>
      <c r="F39" s="152">
        <f>SUM(F40:F40)</f>
        <v>500.8</v>
      </c>
      <c r="G39" s="153"/>
      <c r="H39" s="172">
        <v>30</v>
      </c>
      <c r="I39" s="151">
        <f>J$2-D39+1</f>
        <v>37</v>
      </c>
      <c r="J39" s="169"/>
      <c r="K39" s="170"/>
    </row>
    <row r="40" spans="1:11">
      <c r="A40" s="184"/>
      <c r="B40" s="174" t="s">
        <v>61</v>
      </c>
      <c r="C40" s="188"/>
      <c r="D40" s="178"/>
      <c r="E40" s="179"/>
      <c r="F40" s="155">
        <v>500.8</v>
      </c>
      <c r="G40" s="156">
        <f>F40/F$4</f>
        <v>0.50049970017989209</v>
      </c>
      <c r="H40" s="178"/>
      <c r="I40" s="157"/>
      <c r="J40" s="167">
        <f t="shared" ref="J40" si="5">IF(I$4&lt;=H$4,G40*E$4/H$4,0)</f>
        <v>81331.201279232468</v>
      </c>
      <c r="K40" s="190" t="s">
        <v>2</v>
      </c>
    </row>
    <row r="41" spans="1:11">
      <c r="A41" s="185">
        <v>19</v>
      </c>
      <c r="B41" s="180" t="s">
        <v>199</v>
      </c>
      <c r="C41" s="189"/>
      <c r="D41" s="181">
        <v>2529</v>
      </c>
      <c r="E41" s="182">
        <v>1000000</v>
      </c>
      <c r="F41" s="159"/>
      <c r="G41" s="160"/>
      <c r="H41" s="181">
        <v>25</v>
      </c>
      <c r="I41" s="151">
        <f>J$2-D41+1</f>
        <v>31</v>
      </c>
      <c r="J41" s="168"/>
      <c r="K41" s="180"/>
    </row>
    <row r="42" spans="1:11">
      <c r="A42" s="184"/>
      <c r="B42" s="174" t="s">
        <v>61</v>
      </c>
      <c r="C42" s="188"/>
      <c r="D42" s="178"/>
      <c r="E42" s="179"/>
      <c r="F42" s="158"/>
      <c r="G42" s="161">
        <v>1</v>
      </c>
      <c r="H42" s="178"/>
      <c r="I42" s="157"/>
      <c r="J42" s="167">
        <f>IF(I41&lt;=H41,G42*E41/H41,0)</f>
        <v>0</v>
      </c>
      <c r="K42" s="190" t="s">
        <v>2</v>
      </c>
    </row>
    <row r="43" spans="1:11">
      <c r="A43" s="185">
        <v>20</v>
      </c>
      <c r="B43" s="180" t="s">
        <v>200</v>
      </c>
      <c r="C43" s="189"/>
      <c r="D43" s="181">
        <v>2543</v>
      </c>
      <c r="E43" s="182">
        <v>350000</v>
      </c>
      <c r="F43" s="159"/>
      <c r="G43" s="160"/>
      <c r="H43" s="181">
        <v>10</v>
      </c>
      <c r="I43" s="151">
        <f>J$2-D43+1</f>
        <v>17</v>
      </c>
      <c r="J43" s="168"/>
      <c r="K43" s="180"/>
    </row>
    <row r="44" spans="1:11">
      <c r="A44" s="184"/>
      <c r="B44" s="174" t="s">
        <v>61</v>
      </c>
      <c r="C44" s="188"/>
      <c r="D44" s="178"/>
      <c r="E44" s="179"/>
      <c r="F44" s="158"/>
      <c r="G44" s="161">
        <v>1</v>
      </c>
      <c r="H44" s="178"/>
      <c r="I44" s="157"/>
      <c r="J44" s="167">
        <f>IF(I43&lt;=H43,G44*E43/H43,0)</f>
        <v>0</v>
      </c>
      <c r="K44" s="190" t="s">
        <v>2</v>
      </c>
    </row>
    <row r="45" spans="1:11">
      <c r="A45" s="185">
        <v>21</v>
      </c>
      <c r="B45" s="180" t="s">
        <v>199</v>
      </c>
      <c r="C45" s="189"/>
      <c r="D45" s="181">
        <v>2529</v>
      </c>
      <c r="E45" s="182">
        <v>1000000</v>
      </c>
      <c r="F45" s="159"/>
      <c r="G45" s="160"/>
      <c r="H45" s="181">
        <v>25</v>
      </c>
      <c r="I45" s="151">
        <f>J$2-D45+1</f>
        <v>31</v>
      </c>
      <c r="J45" s="168"/>
      <c r="K45" s="180"/>
    </row>
    <row r="46" spans="1:11">
      <c r="A46" s="184"/>
      <c r="B46" s="174" t="s">
        <v>61</v>
      </c>
      <c r="C46" s="188"/>
      <c r="D46" s="178"/>
      <c r="E46" s="179"/>
      <c r="F46" s="158"/>
      <c r="G46" s="161">
        <v>1</v>
      </c>
      <c r="H46" s="178"/>
      <c r="I46" s="157"/>
      <c r="J46" s="167">
        <f>IF(I45&lt;=H45,G46*E45/H45,0)</f>
        <v>0</v>
      </c>
      <c r="K46" s="190" t="s">
        <v>2</v>
      </c>
    </row>
    <row r="47" spans="1:11">
      <c r="A47" s="185">
        <v>22</v>
      </c>
      <c r="B47" s="180" t="s">
        <v>200</v>
      </c>
      <c r="C47" s="189"/>
      <c r="D47" s="181">
        <v>2543</v>
      </c>
      <c r="E47" s="182">
        <v>350000</v>
      </c>
      <c r="F47" s="159"/>
      <c r="G47" s="160"/>
      <c r="H47" s="181">
        <v>10</v>
      </c>
      <c r="I47" s="151">
        <f>J$2-D47+1</f>
        <v>17</v>
      </c>
      <c r="J47" s="168"/>
      <c r="K47" s="180"/>
    </row>
    <row r="48" spans="1:11">
      <c r="A48" s="184"/>
      <c r="B48" s="174" t="s">
        <v>61</v>
      </c>
      <c r="C48" s="188"/>
      <c r="D48" s="178"/>
      <c r="E48" s="179"/>
      <c r="F48" s="158"/>
      <c r="G48" s="161">
        <v>1</v>
      </c>
      <c r="H48" s="178"/>
      <c r="I48" s="157"/>
      <c r="J48" s="167">
        <f>IF(I47&lt;=H47,G48*E47/H47,0)</f>
        <v>0</v>
      </c>
      <c r="K48" s="190" t="s">
        <v>2</v>
      </c>
    </row>
    <row r="49" spans="1:11">
      <c r="A49" s="171">
        <v>23</v>
      </c>
      <c r="B49" s="170" t="s">
        <v>198</v>
      </c>
      <c r="C49" s="186"/>
      <c r="D49" s="172">
        <v>2523</v>
      </c>
      <c r="E49" s="173">
        <v>6500000</v>
      </c>
      <c r="F49" s="152">
        <f>SUM(F50:F50)</f>
        <v>500.8</v>
      </c>
      <c r="G49" s="153"/>
      <c r="H49" s="172">
        <v>30</v>
      </c>
      <c r="I49" s="151">
        <f>J$2-D49+1</f>
        <v>37</v>
      </c>
      <c r="J49" s="169"/>
      <c r="K49" s="170"/>
    </row>
    <row r="50" spans="1:11">
      <c r="A50" s="184"/>
      <c r="B50" s="174" t="s">
        <v>61</v>
      </c>
      <c r="C50" s="188"/>
      <c r="D50" s="178"/>
      <c r="E50" s="179"/>
      <c r="F50" s="155">
        <v>500.8</v>
      </c>
      <c r="G50" s="156">
        <f>F50/F$4</f>
        <v>0.50049970017989209</v>
      </c>
      <c r="H50" s="178"/>
      <c r="I50" s="157"/>
      <c r="J50" s="167">
        <f t="shared" ref="J50" si="6">IF(I$4&lt;=H$4,G50*E$4/H$4,0)</f>
        <v>81331.201279232468</v>
      </c>
      <c r="K50" s="190" t="s">
        <v>2</v>
      </c>
    </row>
    <row r="51" spans="1:11">
      <c r="A51" s="185">
        <v>24</v>
      </c>
      <c r="B51" s="180" t="s">
        <v>199</v>
      </c>
      <c r="C51" s="189"/>
      <c r="D51" s="181">
        <v>2529</v>
      </c>
      <c r="E51" s="182">
        <v>1000000</v>
      </c>
      <c r="F51" s="159"/>
      <c r="G51" s="160"/>
      <c r="H51" s="181">
        <v>25</v>
      </c>
      <c r="I51" s="151">
        <f>J$2-D51+1</f>
        <v>31</v>
      </c>
      <c r="J51" s="168"/>
      <c r="K51" s="180"/>
    </row>
    <row r="52" spans="1:11">
      <c r="A52" s="184"/>
      <c r="B52" s="174" t="s">
        <v>61</v>
      </c>
      <c r="C52" s="188"/>
      <c r="D52" s="178"/>
      <c r="E52" s="179"/>
      <c r="F52" s="158"/>
      <c r="G52" s="161">
        <v>1</v>
      </c>
      <c r="H52" s="178"/>
      <c r="I52" s="157"/>
      <c r="J52" s="167">
        <f>IF(I51&lt;=H51,G52*E51/H51,0)</f>
        <v>0</v>
      </c>
      <c r="K52" s="190" t="s">
        <v>2</v>
      </c>
    </row>
    <row r="53" spans="1:11">
      <c r="A53" s="185">
        <v>25</v>
      </c>
      <c r="B53" s="180" t="s">
        <v>200</v>
      </c>
      <c r="C53" s="189"/>
      <c r="D53" s="181">
        <v>2543</v>
      </c>
      <c r="E53" s="182">
        <v>350000</v>
      </c>
      <c r="F53" s="159"/>
      <c r="G53" s="160"/>
      <c r="H53" s="181">
        <v>10</v>
      </c>
      <c r="I53" s="151">
        <f>J$2-D53+1</f>
        <v>17</v>
      </c>
      <c r="J53" s="168"/>
      <c r="K53" s="180"/>
    </row>
    <row r="54" spans="1:11">
      <c r="A54" s="184"/>
      <c r="B54" s="174" t="s">
        <v>61</v>
      </c>
      <c r="C54" s="188"/>
      <c r="D54" s="178"/>
      <c r="E54" s="179"/>
      <c r="F54" s="158"/>
      <c r="G54" s="161">
        <v>1</v>
      </c>
      <c r="H54" s="178"/>
      <c r="I54" s="157"/>
      <c r="J54" s="167">
        <f>IF(I53&lt;=H53,G54*E53/H53,0)</f>
        <v>0</v>
      </c>
      <c r="K54" s="190" t="s">
        <v>2</v>
      </c>
    </row>
    <row r="55" spans="1:11">
      <c r="A55" s="185">
        <v>26</v>
      </c>
      <c r="B55" s="180" t="s">
        <v>200</v>
      </c>
      <c r="C55" s="189"/>
      <c r="D55" s="181">
        <v>2543</v>
      </c>
      <c r="E55" s="182">
        <v>350000</v>
      </c>
      <c r="F55" s="159"/>
      <c r="G55" s="160"/>
      <c r="H55" s="181">
        <v>10</v>
      </c>
      <c r="I55" s="151">
        <f>J$2-D55+1</f>
        <v>17</v>
      </c>
      <c r="J55" s="168"/>
      <c r="K55" s="180"/>
    </row>
    <row r="56" spans="1:11">
      <c r="A56" s="184"/>
      <c r="B56" s="174" t="s">
        <v>61</v>
      </c>
      <c r="C56" s="188"/>
      <c r="D56" s="178"/>
      <c r="E56" s="179"/>
      <c r="F56" s="158"/>
      <c r="G56" s="161">
        <v>1</v>
      </c>
      <c r="H56" s="178"/>
      <c r="I56" s="157"/>
      <c r="J56" s="167">
        <f>IF(I55&lt;=H55,G56*E55/H55,0)</f>
        <v>0</v>
      </c>
      <c r="K56" s="190" t="s">
        <v>2</v>
      </c>
    </row>
    <row r="57" spans="1:11">
      <c r="A57" s="185">
        <v>27</v>
      </c>
      <c r="B57" s="180" t="s">
        <v>199</v>
      </c>
      <c r="C57" s="189"/>
      <c r="D57" s="181">
        <v>2529</v>
      </c>
      <c r="E57" s="182">
        <v>1000000</v>
      </c>
      <c r="F57" s="159"/>
      <c r="G57" s="160"/>
      <c r="H57" s="181">
        <v>25</v>
      </c>
      <c r="I57" s="151">
        <f>J$2-D57+1</f>
        <v>31</v>
      </c>
      <c r="J57" s="168"/>
      <c r="K57" s="180"/>
    </row>
    <row r="58" spans="1:11">
      <c r="A58" s="184"/>
      <c r="B58" s="174" t="s">
        <v>61</v>
      </c>
      <c r="C58" s="188"/>
      <c r="D58" s="178"/>
      <c r="E58" s="179"/>
      <c r="F58" s="158"/>
      <c r="G58" s="161">
        <v>1</v>
      </c>
      <c r="H58" s="178"/>
      <c r="I58" s="157"/>
      <c r="J58" s="167">
        <f>IF(I57&lt;=H57,G58*E57/H57,0)</f>
        <v>0</v>
      </c>
      <c r="K58" s="190" t="s">
        <v>2</v>
      </c>
    </row>
    <row r="59" spans="1:11">
      <c r="A59" s="185">
        <v>28</v>
      </c>
      <c r="B59" s="180" t="s">
        <v>200</v>
      </c>
      <c r="C59" s="189"/>
      <c r="D59" s="181">
        <v>2543</v>
      </c>
      <c r="E59" s="182">
        <v>350000</v>
      </c>
      <c r="F59" s="159"/>
      <c r="G59" s="160"/>
      <c r="H59" s="181">
        <v>10</v>
      </c>
      <c r="I59" s="151">
        <f>J$2-D59+1</f>
        <v>17</v>
      </c>
      <c r="J59" s="168"/>
      <c r="K59" s="180"/>
    </row>
    <row r="60" spans="1:11">
      <c r="A60" s="184"/>
      <c r="B60" s="174" t="s">
        <v>61</v>
      </c>
      <c r="C60" s="188"/>
      <c r="D60" s="178"/>
      <c r="E60" s="179"/>
      <c r="F60" s="158"/>
      <c r="G60" s="161">
        <v>1</v>
      </c>
      <c r="H60" s="178"/>
      <c r="I60" s="157"/>
      <c r="J60" s="167">
        <f>IF(I59&lt;=H59,G60*E59/H59,0)</f>
        <v>0</v>
      </c>
      <c r="K60" s="190" t="s">
        <v>2</v>
      </c>
    </row>
    <row r="61" spans="1:11">
      <c r="A61" s="171">
        <v>29</v>
      </c>
      <c r="B61" s="170" t="s">
        <v>198</v>
      </c>
      <c r="C61" s="186"/>
      <c r="D61" s="172">
        <v>2523</v>
      </c>
      <c r="E61" s="173">
        <v>6500000</v>
      </c>
      <c r="F61" s="152">
        <f>SUM(F62:F62)</f>
        <v>500.8</v>
      </c>
      <c r="G61" s="153"/>
      <c r="H61" s="172">
        <v>30</v>
      </c>
      <c r="I61" s="151">
        <f>J$2-D61+1</f>
        <v>37</v>
      </c>
      <c r="J61" s="169"/>
      <c r="K61" s="170"/>
    </row>
    <row r="62" spans="1:11">
      <c r="A62" s="184"/>
      <c r="B62" s="174" t="s">
        <v>61</v>
      </c>
      <c r="C62" s="188"/>
      <c r="D62" s="178"/>
      <c r="E62" s="179"/>
      <c r="F62" s="155">
        <v>500.8</v>
      </c>
      <c r="G62" s="156">
        <f>F62/F$4</f>
        <v>0.50049970017989209</v>
      </c>
      <c r="H62" s="178"/>
      <c r="I62" s="157"/>
      <c r="J62" s="167">
        <f t="shared" ref="J62" si="7">IF(I$4&lt;=H$4,G62*E$4/H$4,0)</f>
        <v>81331.201279232468</v>
      </c>
      <c r="K62" s="190" t="s">
        <v>2</v>
      </c>
    </row>
    <row r="63" spans="1:11">
      <c r="A63" s="185">
        <v>30</v>
      </c>
      <c r="B63" s="180" t="s">
        <v>199</v>
      </c>
      <c r="C63" s="189"/>
      <c r="D63" s="181">
        <v>2529</v>
      </c>
      <c r="E63" s="182">
        <v>1000000</v>
      </c>
      <c r="F63" s="159"/>
      <c r="G63" s="160"/>
      <c r="H63" s="181">
        <v>25</v>
      </c>
      <c r="I63" s="151">
        <f>J$2-D63+1</f>
        <v>31</v>
      </c>
      <c r="J63" s="168"/>
      <c r="K63" s="180"/>
    </row>
    <row r="64" spans="1:11">
      <c r="A64" s="184"/>
      <c r="B64" s="174" t="s">
        <v>61</v>
      </c>
      <c r="C64" s="188"/>
      <c r="D64" s="178"/>
      <c r="E64" s="179"/>
      <c r="F64" s="158"/>
      <c r="G64" s="161">
        <v>1</v>
      </c>
      <c r="H64" s="178"/>
      <c r="I64" s="157"/>
      <c r="J64" s="167">
        <f>IF(I63&lt;=H63,G64*E63/H63,0)</f>
        <v>0</v>
      </c>
      <c r="K64" s="190" t="s">
        <v>2</v>
      </c>
    </row>
    <row r="65" spans="1:11">
      <c r="A65" s="185">
        <v>31</v>
      </c>
      <c r="B65" s="180" t="s">
        <v>200</v>
      </c>
      <c r="C65" s="189"/>
      <c r="D65" s="181">
        <v>2543</v>
      </c>
      <c r="E65" s="182">
        <v>350000</v>
      </c>
      <c r="F65" s="159"/>
      <c r="G65" s="160"/>
      <c r="H65" s="181">
        <v>10</v>
      </c>
      <c r="I65" s="151">
        <f>J$2-D65+1</f>
        <v>17</v>
      </c>
      <c r="J65" s="168"/>
      <c r="K65" s="180"/>
    </row>
    <row r="66" spans="1:11">
      <c r="A66" s="184"/>
      <c r="B66" s="174" t="s">
        <v>61</v>
      </c>
      <c r="C66" s="188"/>
      <c r="D66" s="178"/>
      <c r="E66" s="179"/>
      <c r="F66" s="158"/>
      <c r="G66" s="161">
        <v>1</v>
      </c>
      <c r="H66" s="178"/>
      <c r="I66" s="157"/>
      <c r="J66" s="167">
        <f>IF(I65&lt;=H65,G66*E65/H65,0)</f>
        <v>0</v>
      </c>
      <c r="K66" s="190" t="s">
        <v>2</v>
      </c>
    </row>
    <row r="67" spans="1:11">
      <c r="A67" s="185">
        <v>32</v>
      </c>
      <c r="B67" s="180" t="s">
        <v>200</v>
      </c>
      <c r="C67" s="189"/>
      <c r="D67" s="181">
        <v>2543</v>
      </c>
      <c r="E67" s="182">
        <v>350000</v>
      </c>
      <c r="F67" s="159"/>
      <c r="G67" s="160"/>
      <c r="H67" s="181">
        <v>10</v>
      </c>
      <c r="I67" s="151">
        <f>J$2-D67+1</f>
        <v>17</v>
      </c>
      <c r="J67" s="168"/>
      <c r="K67" s="180"/>
    </row>
    <row r="68" spans="1:11">
      <c r="A68" s="184"/>
      <c r="B68" s="174" t="s">
        <v>61</v>
      </c>
      <c r="C68" s="188"/>
      <c r="D68" s="178"/>
      <c r="E68" s="179"/>
      <c r="F68" s="158"/>
      <c r="G68" s="161">
        <v>1</v>
      </c>
      <c r="H68" s="178"/>
      <c r="I68" s="157"/>
      <c r="J68" s="167">
        <f>IF(I67&lt;=H67,G68*E67/H67,0)</f>
        <v>0</v>
      </c>
      <c r="K68" s="190" t="s">
        <v>2</v>
      </c>
    </row>
    <row r="69" spans="1:11">
      <c r="A69" s="171">
        <v>33</v>
      </c>
      <c r="B69" s="170" t="s">
        <v>198</v>
      </c>
      <c r="C69" s="186"/>
      <c r="D69" s="172">
        <v>2523</v>
      </c>
      <c r="E69" s="173">
        <v>6500000</v>
      </c>
      <c r="F69" s="152">
        <f>SUM(F70:F70)</f>
        <v>500.8</v>
      </c>
      <c r="G69" s="153"/>
      <c r="H69" s="172">
        <v>30</v>
      </c>
      <c r="I69" s="151">
        <f>J$2-D69+1</f>
        <v>37</v>
      </c>
      <c r="J69" s="169"/>
      <c r="K69" s="170"/>
    </row>
    <row r="70" spans="1:11">
      <c r="A70" s="184"/>
      <c r="B70" s="174" t="s">
        <v>61</v>
      </c>
      <c r="C70" s="188"/>
      <c r="D70" s="178"/>
      <c r="E70" s="179"/>
      <c r="F70" s="155">
        <v>500.8</v>
      </c>
      <c r="G70" s="156">
        <f>F70/F$4</f>
        <v>0.50049970017989209</v>
      </c>
      <c r="H70" s="178"/>
      <c r="I70" s="157"/>
      <c r="J70" s="167">
        <f t="shared" ref="J70" si="8">IF(I$4&lt;=H$4,G70*E$4/H$4,0)</f>
        <v>81331.201279232468</v>
      </c>
      <c r="K70" s="190" t="s">
        <v>2</v>
      </c>
    </row>
    <row r="71" spans="1:11">
      <c r="A71" s="185">
        <v>34</v>
      </c>
      <c r="B71" s="180" t="s">
        <v>199</v>
      </c>
      <c r="C71" s="189">
        <v>2528</v>
      </c>
      <c r="D71" s="181">
        <v>2529</v>
      </c>
      <c r="E71" s="182">
        <v>1000000</v>
      </c>
      <c r="F71" s="159"/>
      <c r="G71" s="160"/>
      <c r="H71" s="181">
        <v>25</v>
      </c>
      <c r="I71" s="151">
        <f>J$2-D71+1</f>
        <v>31</v>
      </c>
      <c r="J71" s="168"/>
      <c r="K71" s="180"/>
    </row>
    <row r="72" spans="1:11">
      <c r="A72" s="184"/>
      <c r="B72" s="174" t="s">
        <v>61</v>
      </c>
      <c r="C72" s="188"/>
      <c r="D72" s="178"/>
      <c r="E72" s="179"/>
      <c r="F72" s="158"/>
      <c r="G72" s="161">
        <v>1</v>
      </c>
      <c r="H72" s="178"/>
      <c r="I72" s="157"/>
      <c r="J72" s="167">
        <f>IF(I71&lt;=H71,G72*E71/H71,0)</f>
        <v>0</v>
      </c>
      <c r="K72" s="190" t="s">
        <v>2</v>
      </c>
    </row>
    <row r="73" spans="1:11">
      <c r="A73" s="185">
        <v>35</v>
      </c>
      <c r="B73" s="180" t="s">
        <v>200</v>
      </c>
      <c r="C73" s="189">
        <v>2543</v>
      </c>
      <c r="D73" s="181">
        <v>2543</v>
      </c>
      <c r="E73" s="182">
        <v>350000</v>
      </c>
      <c r="F73" s="159"/>
      <c r="G73" s="160"/>
      <c r="H73" s="181">
        <v>10</v>
      </c>
      <c r="I73" s="151">
        <f>J$2-D73+1</f>
        <v>17</v>
      </c>
      <c r="J73" s="168"/>
      <c r="K73" s="180"/>
    </row>
    <row r="74" spans="1:11">
      <c r="A74" s="184"/>
      <c r="B74" s="174" t="s">
        <v>61</v>
      </c>
      <c r="C74" s="188"/>
      <c r="D74" s="178"/>
      <c r="E74" s="179"/>
      <c r="F74" s="158"/>
      <c r="G74" s="161">
        <v>1</v>
      </c>
      <c r="H74" s="178"/>
      <c r="I74" s="157"/>
      <c r="J74" s="167">
        <f>IF(I73&lt;=H73,G74*E73/H73,0)</f>
        <v>0</v>
      </c>
      <c r="K74" s="190" t="s">
        <v>2</v>
      </c>
    </row>
    <row r="79" spans="1:11" ht="29.25">
      <c r="F79" s="163" t="s">
        <v>209</v>
      </c>
      <c r="G79" s="164"/>
      <c r="H79" s="165"/>
      <c r="I79" s="165"/>
      <c r="J79" s="166">
        <f>SUM(J5:J74)</f>
        <v>849816.2769005266</v>
      </c>
    </row>
  </sheetData>
  <sheetProtection algorithmName="SHA-512" hashValue="CHCBa/IwBGWhmHw/FzT0YobsQ8ylXwsvU4N/78+fWT+r9uoJBT2PbjYpN8aiespQnwcevCLBHQKc0qCO0h8o3Q==" saltValue="L1cwie6DXAvHmFTy1r5nJA==" spinCount="100000" sheet="1" objects="1" scenarios="1"/>
  <protectedRanges>
    <protectedRange sqref="B4:E74 F5:F6 H4:H74 K4:K74" name="Range1"/>
  </protectedRange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3" sqref="B3"/>
    </sheetView>
  </sheetViews>
  <sheetFormatPr defaultRowHeight="23.25"/>
  <cols>
    <col min="1" max="1" width="6.140625" customWidth="1"/>
    <col min="2" max="2" width="18.140625" customWidth="1"/>
    <col min="3" max="3" width="36.140625" customWidth="1"/>
    <col min="4" max="4" width="17.7109375" customWidth="1"/>
    <col min="5" max="5" width="11.28515625" customWidth="1"/>
    <col min="6" max="6" width="10.28515625" customWidth="1"/>
    <col min="7" max="7" width="11" customWidth="1"/>
    <col min="8" max="8" width="14.28515625" customWidth="1"/>
  </cols>
  <sheetData>
    <row r="1" spans="1:8" ht="26.25">
      <c r="B1" s="130" t="s">
        <v>210</v>
      </c>
      <c r="C1" s="130" t="str">
        <f>กรอกข้อมูล!H1</f>
        <v>เทคโนโลยีชีวภาพ</v>
      </c>
      <c r="D1" s="130" t="str">
        <f>"คณะ"&amp;กรอกข้อมูล!H2   &amp; "              มหาวิทยาลัย"&amp;กรอกข้อมูล!E1</f>
        <v>คณะวิทยาศาสตร์และเทคโนโลยี              มหาวิทยาลัยราชภัฏเพชรบุรี</v>
      </c>
    </row>
    <row r="2" spans="1:8" ht="31.15" customHeight="1">
      <c r="A2" s="130" t="s">
        <v>201</v>
      </c>
      <c r="E2" s="127">
        <f>กรอกข้อมูล!E2</f>
        <v>2559</v>
      </c>
    </row>
    <row r="3" spans="1:8" ht="51" customHeight="1">
      <c r="A3" s="131" t="s">
        <v>187</v>
      </c>
      <c r="B3" s="132" t="s">
        <v>197</v>
      </c>
      <c r="C3" s="131" t="s">
        <v>202</v>
      </c>
      <c r="D3" s="133" t="s">
        <v>203</v>
      </c>
      <c r="E3" s="133" t="s">
        <v>204</v>
      </c>
      <c r="F3" s="133" t="s">
        <v>205</v>
      </c>
      <c r="G3" s="133" t="s">
        <v>195</v>
      </c>
      <c r="H3" s="134" t="s">
        <v>206</v>
      </c>
    </row>
    <row r="4" spans="1:8">
      <c r="A4" s="136">
        <v>1</v>
      </c>
      <c r="B4" s="137" t="s">
        <v>207</v>
      </c>
      <c r="C4" s="138" t="s">
        <v>208</v>
      </c>
      <c r="D4" s="139">
        <v>10000</v>
      </c>
      <c r="E4" s="140">
        <v>2546</v>
      </c>
      <c r="F4" s="140">
        <v>15</v>
      </c>
      <c r="G4" s="141">
        <f>IF(ISBLANK(E4),0,E$2-E4+1)</f>
        <v>14</v>
      </c>
      <c r="H4" s="135">
        <f>IF(ISBLANK(F4),0,IF(E4&gt;E$2,0,IF(G4&lt;=F4,D4/F4,0)))</f>
        <v>666.66666666666663</v>
      </c>
    </row>
    <row r="5" spans="1:8">
      <c r="A5" s="136">
        <v>2</v>
      </c>
      <c r="B5" s="137" t="s">
        <v>207</v>
      </c>
      <c r="C5" s="138" t="s">
        <v>208</v>
      </c>
      <c r="D5" s="139">
        <v>2000</v>
      </c>
      <c r="E5" s="140">
        <v>2546</v>
      </c>
      <c r="F5" s="140">
        <v>16</v>
      </c>
      <c r="G5" s="141">
        <f t="shared" ref="G5:G26" si="0">IF(ISBLANK(E5),0,E$2-E5+1)</f>
        <v>14</v>
      </c>
      <c r="H5" s="135">
        <f t="shared" ref="H5:H26" si="1">IF(ISBLANK(F5),0,IF(E5&gt;E$2,0,IF(G5&lt;=F5,D5/F5,0)))</f>
        <v>125</v>
      </c>
    </row>
    <row r="6" spans="1:8">
      <c r="A6" s="136">
        <v>3</v>
      </c>
      <c r="B6" s="137" t="s">
        <v>207</v>
      </c>
      <c r="C6" s="138" t="s">
        <v>208</v>
      </c>
      <c r="D6" s="139">
        <v>2888888</v>
      </c>
      <c r="E6" s="140">
        <v>2546</v>
      </c>
      <c r="F6" s="140">
        <v>16</v>
      </c>
      <c r="G6" s="141">
        <f t="shared" si="0"/>
        <v>14</v>
      </c>
      <c r="H6" s="135">
        <f t="shared" si="1"/>
        <v>180555.5</v>
      </c>
    </row>
    <row r="7" spans="1:8">
      <c r="A7" s="136">
        <v>4</v>
      </c>
      <c r="B7" s="137" t="s">
        <v>207</v>
      </c>
      <c r="C7" s="138" t="s">
        <v>208</v>
      </c>
      <c r="D7" s="139">
        <v>10000</v>
      </c>
      <c r="E7" s="140">
        <v>2546</v>
      </c>
      <c r="F7" s="140">
        <v>16</v>
      </c>
      <c r="G7" s="141">
        <f t="shared" si="0"/>
        <v>14</v>
      </c>
      <c r="H7" s="135">
        <f t="shared" si="1"/>
        <v>625</v>
      </c>
    </row>
    <row r="8" spans="1:8">
      <c r="A8" s="136">
        <v>5</v>
      </c>
      <c r="B8" s="137" t="s">
        <v>207</v>
      </c>
      <c r="C8" s="138" t="s">
        <v>208</v>
      </c>
      <c r="D8" s="139">
        <v>10000</v>
      </c>
      <c r="E8" s="140">
        <v>2546</v>
      </c>
      <c r="F8" s="140">
        <v>16</v>
      </c>
      <c r="G8" s="141">
        <f t="shared" si="0"/>
        <v>14</v>
      </c>
      <c r="H8" s="135">
        <f t="shared" si="1"/>
        <v>625</v>
      </c>
    </row>
    <row r="9" spans="1:8">
      <c r="A9" s="136">
        <v>6</v>
      </c>
      <c r="B9" s="137" t="s">
        <v>207</v>
      </c>
      <c r="C9" s="138" t="s">
        <v>208</v>
      </c>
      <c r="D9" s="139">
        <v>10000</v>
      </c>
      <c r="E9" s="140">
        <v>2546</v>
      </c>
      <c r="F9" s="140">
        <v>16</v>
      </c>
      <c r="G9" s="141">
        <f t="shared" si="0"/>
        <v>14</v>
      </c>
      <c r="H9" s="135">
        <f t="shared" si="1"/>
        <v>625</v>
      </c>
    </row>
    <row r="10" spans="1:8">
      <c r="A10" s="136">
        <v>7</v>
      </c>
      <c r="B10" s="137" t="s">
        <v>207</v>
      </c>
      <c r="C10" s="138" t="s">
        <v>208</v>
      </c>
      <c r="D10" s="139">
        <v>10000</v>
      </c>
      <c r="E10" s="140">
        <v>2546</v>
      </c>
      <c r="F10" s="140">
        <v>16</v>
      </c>
      <c r="G10" s="141">
        <f t="shared" si="0"/>
        <v>14</v>
      </c>
      <c r="H10" s="135">
        <f t="shared" si="1"/>
        <v>625</v>
      </c>
    </row>
    <row r="11" spans="1:8">
      <c r="A11" s="136">
        <v>8</v>
      </c>
      <c r="B11" s="137" t="s">
        <v>207</v>
      </c>
      <c r="C11" s="138" t="s">
        <v>208</v>
      </c>
      <c r="D11" s="139">
        <v>10000</v>
      </c>
      <c r="E11" s="140">
        <v>2546</v>
      </c>
      <c r="F11" s="140">
        <v>16</v>
      </c>
      <c r="G11" s="141">
        <f t="shared" si="0"/>
        <v>14</v>
      </c>
      <c r="H11" s="135">
        <f t="shared" si="1"/>
        <v>625</v>
      </c>
    </row>
    <row r="12" spans="1:8">
      <c r="A12" s="136">
        <v>9</v>
      </c>
      <c r="B12" s="137" t="s">
        <v>207</v>
      </c>
      <c r="C12" s="138" t="s">
        <v>208</v>
      </c>
      <c r="D12" s="139">
        <v>10000</v>
      </c>
      <c r="E12" s="140">
        <v>2546</v>
      </c>
      <c r="F12" s="140">
        <v>16</v>
      </c>
      <c r="G12" s="141">
        <f t="shared" si="0"/>
        <v>14</v>
      </c>
      <c r="H12" s="135">
        <f t="shared" si="1"/>
        <v>625</v>
      </c>
    </row>
    <row r="13" spans="1:8">
      <c r="A13" s="136">
        <v>10</v>
      </c>
      <c r="B13" s="137" t="s">
        <v>207</v>
      </c>
      <c r="C13" s="138" t="s">
        <v>208</v>
      </c>
      <c r="D13" s="139">
        <v>10000</v>
      </c>
      <c r="E13" s="140">
        <v>2546</v>
      </c>
      <c r="F13" s="140">
        <v>16</v>
      </c>
      <c r="G13" s="141">
        <f t="shared" si="0"/>
        <v>14</v>
      </c>
      <c r="H13" s="135">
        <f t="shared" si="1"/>
        <v>625</v>
      </c>
    </row>
    <row r="14" spans="1:8">
      <c r="A14" s="136">
        <v>11</v>
      </c>
      <c r="B14" s="137" t="s">
        <v>207</v>
      </c>
      <c r="C14" s="138" t="s">
        <v>208</v>
      </c>
      <c r="D14" s="139">
        <v>10000</v>
      </c>
      <c r="E14" s="140">
        <v>2546</v>
      </c>
      <c r="F14" s="140">
        <v>16</v>
      </c>
      <c r="G14" s="141">
        <f t="shared" si="0"/>
        <v>14</v>
      </c>
      <c r="H14" s="135">
        <f t="shared" si="1"/>
        <v>625</v>
      </c>
    </row>
    <row r="15" spans="1:8">
      <c r="A15" s="136">
        <v>12</v>
      </c>
      <c r="B15" s="137" t="s">
        <v>207</v>
      </c>
      <c r="C15" s="138" t="s">
        <v>208</v>
      </c>
      <c r="D15" s="139">
        <v>10000</v>
      </c>
      <c r="E15" s="140">
        <v>2546</v>
      </c>
      <c r="F15" s="140">
        <v>16</v>
      </c>
      <c r="G15" s="141">
        <f t="shared" si="0"/>
        <v>14</v>
      </c>
      <c r="H15" s="135">
        <f t="shared" si="1"/>
        <v>625</v>
      </c>
    </row>
    <row r="16" spans="1:8">
      <c r="A16" s="136">
        <v>13</v>
      </c>
      <c r="B16" s="137" t="s">
        <v>207</v>
      </c>
      <c r="C16" s="138" t="s">
        <v>208</v>
      </c>
      <c r="D16" s="139">
        <v>10000</v>
      </c>
      <c r="E16" s="140">
        <v>2546</v>
      </c>
      <c r="F16" s="140">
        <v>16</v>
      </c>
      <c r="G16" s="141">
        <f t="shared" si="0"/>
        <v>14</v>
      </c>
      <c r="H16" s="135">
        <f t="shared" si="1"/>
        <v>625</v>
      </c>
    </row>
    <row r="17" spans="1:8">
      <c r="A17" s="136">
        <v>14</v>
      </c>
      <c r="B17" s="137" t="s">
        <v>207</v>
      </c>
      <c r="C17" s="138" t="s">
        <v>208</v>
      </c>
      <c r="D17" s="139">
        <v>10000</v>
      </c>
      <c r="E17" s="140">
        <v>2546</v>
      </c>
      <c r="F17" s="140">
        <v>16</v>
      </c>
      <c r="G17" s="141">
        <f t="shared" si="0"/>
        <v>14</v>
      </c>
      <c r="H17" s="135">
        <f t="shared" si="1"/>
        <v>625</v>
      </c>
    </row>
    <row r="18" spans="1:8">
      <c r="A18" s="136">
        <v>15</v>
      </c>
      <c r="B18" s="137" t="s">
        <v>207</v>
      </c>
      <c r="C18" s="138" t="s">
        <v>208</v>
      </c>
      <c r="D18" s="139">
        <v>10000</v>
      </c>
      <c r="E18" s="140">
        <v>2546</v>
      </c>
      <c r="F18" s="140">
        <v>16</v>
      </c>
      <c r="G18" s="141">
        <f t="shared" si="0"/>
        <v>14</v>
      </c>
      <c r="H18" s="135">
        <f t="shared" si="1"/>
        <v>625</v>
      </c>
    </row>
    <row r="19" spans="1:8">
      <c r="A19" s="136">
        <v>16</v>
      </c>
      <c r="B19" s="137" t="s">
        <v>207</v>
      </c>
      <c r="C19" s="138" t="s">
        <v>208</v>
      </c>
      <c r="D19" s="139">
        <v>10000</v>
      </c>
      <c r="E19" s="140">
        <v>2546</v>
      </c>
      <c r="F19" s="140">
        <v>16</v>
      </c>
      <c r="G19" s="141">
        <f t="shared" si="0"/>
        <v>14</v>
      </c>
      <c r="H19" s="135">
        <f t="shared" si="1"/>
        <v>625</v>
      </c>
    </row>
    <row r="20" spans="1:8">
      <c r="A20" s="136">
        <v>17</v>
      </c>
      <c r="B20" s="137" t="s">
        <v>207</v>
      </c>
      <c r="C20" s="138" t="s">
        <v>208</v>
      </c>
      <c r="D20" s="139">
        <v>10000</v>
      </c>
      <c r="E20" s="140">
        <v>2546</v>
      </c>
      <c r="F20" s="140">
        <v>16</v>
      </c>
      <c r="G20" s="141">
        <f t="shared" si="0"/>
        <v>14</v>
      </c>
      <c r="H20" s="135">
        <f t="shared" si="1"/>
        <v>625</v>
      </c>
    </row>
    <row r="21" spans="1:8">
      <c r="A21" s="136">
        <v>18</v>
      </c>
      <c r="B21" s="137" t="s">
        <v>207</v>
      </c>
      <c r="C21" s="138" t="s">
        <v>208</v>
      </c>
      <c r="D21" s="139">
        <v>10000</v>
      </c>
      <c r="E21" s="140">
        <v>2546</v>
      </c>
      <c r="F21" s="140">
        <v>16</v>
      </c>
      <c r="G21" s="141">
        <f t="shared" si="0"/>
        <v>14</v>
      </c>
      <c r="H21" s="135">
        <f t="shared" si="1"/>
        <v>625</v>
      </c>
    </row>
    <row r="22" spans="1:8">
      <c r="A22" s="136">
        <v>19</v>
      </c>
      <c r="B22" s="137" t="s">
        <v>207</v>
      </c>
      <c r="C22" s="138" t="s">
        <v>208</v>
      </c>
      <c r="D22" s="139">
        <v>10000</v>
      </c>
      <c r="E22" s="140">
        <v>2546</v>
      </c>
      <c r="F22" s="140">
        <v>16</v>
      </c>
      <c r="G22" s="141">
        <f t="shared" si="0"/>
        <v>14</v>
      </c>
      <c r="H22" s="135">
        <f t="shared" si="1"/>
        <v>625</v>
      </c>
    </row>
    <row r="23" spans="1:8">
      <c r="A23" s="136">
        <v>20</v>
      </c>
      <c r="B23" s="137" t="s">
        <v>207</v>
      </c>
      <c r="C23" s="138" t="s">
        <v>208</v>
      </c>
      <c r="D23" s="139">
        <v>10000</v>
      </c>
      <c r="E23" s="140">
        <v>2546</v>
      </c>
      <c r="F23" s="140">
        <v>16</v>
      </c>
      <c r="G23" s="141">
        <f t="shared" si="0"/>
        <v>14</v>
      </c>
      <c r="H23" s="135">
        <f t="shared" si="1"/>
        <v>625</v>
      </c>
    </row>
    <row r="24" spans="1:8">
      <c r="A24" s="136">
        <v>21</v>
      </c>
      <c r="B24" s="137" t="s">
        <v>207</v>
      </c>
      <c r="C24" s="138" t="s">
        <v>208</v>
      </c>
      <c r="D24" s="139">
        <v>10000</v>
      </c>
      <c r="E24" s="140">
        <v>2546</v>
      </c>
      <c r="F24" s="140">
        <v>16</v>
      </c>
      <c r="G24" s="141">
        <f t="shared" si="0"/>
        <v>14</v>
      </c>
      <c r="H24" s="135">
        <f t="shared" si="1"/>
        <v>625</v>
      </c>
    </row>
    <row r="25" spans="1:8">
      <c r="A25" s="136">
        <v>22</v>
      </c>
      <c r="B25" s="137" t="s">
        <v>207</v>
      </c>
      <c r="C25" s="138" t="s">
        <v>208</v>
      </c>
      <c r="D25" s="139">
        <v>10000</v>
      </c>
      <c r="E25" s="140">
        <v>2546</v>
      </c>
      <c r="F25" s="140">
        <v>16</v>
      </c>
      <c r="G25" s="141">
        <f t="shared" si="0"/>
        <v>14</v>
      </c>
      <c r="H25" s="135">
        <f t="shared" si="1"/>
        <v>625</v>
      </c>
    </row>
    <row r="26" spans="1:8">
      <c r="A26" s="136">
        <v>23</v>
      </c>
      <c r="B26" s="137" t="s">
        <v>207</v>
      </c>
      <c r="C26" s="138" t="s">
        <v>208</v>
      </c>
      <c r="D26" s="139">
        <v>10000</v>
      </c>
      <c r="E26" s="140">
        <v>2546</v>
      </c>
      <c r="F26" s="140">
        <v>16</v>
      </c>
      <c r="G26" s="141">
        <f t="shared" si="0"/>
        <v>14</v>
      </c>
      <c r="H26" s="135">
        <f t="shared" si="1"/>
        <v>625</v>
      </c>
    </row>
    <row r="28" spans="1:8" ht="29.25">
      <c r="B28" s="75" t="str">
        <f>"รวมค่าเสื่อมราคาพัสดุ     หลักสูตร"&amp;กรอกข้อมูล!H1</f>
        <v>รวมค่าเสื่อมราคาพัสดุ     หลักสูตรเทคโนโลยีชีวภาพ</v>
      </c>
      <c r="C28" s="191"/>
      <c r="D28" s="192">
        <f>SUM(H4:H26)</f>
        <v>193847.16666666666</v>
      </c>
      <c r="E28" s="126" t="s">
        <v>218</v>
      </c>
    </row>
  </sheetData>
  <sheetProtection algorithmName="SHA-512" hashValue="Th6ApmujydVa4B2Mk9wzHDtyN6PsYisg7qJMfJR/zIte0rf2b5XqCMvbUm8ocNt9M7att33OnvymKnU7PHh9Bw==" saltValue="DN5qBp4W1PW+lkxI9jA+7Q==" spinCount="100000" sheet="1" objects="1" scenarios="1"/>
  <protectedRanges>
    <protectedRange sqref="E2 B4:F26" name="Range1"/>
  </protectedRange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selection activeCell="J12" sqref="J12"/>
    </sheetView>
  </sheetViews>
  <sheetFormatPr defaultColWidth="9.140625" defaultRowHeight="21"/>
  <cols>
    <col min="1" max="1" width="11.28515625" style="35" customWidth="1"/>
    <col min="2" max="2" width="41.42578125" style="35" customWidth="1"/>
    <col min="3" max="3" width="13" style="35" customWidth="1"/>
    <col min="4" max="5" width="11.42578125" style="35" customWidth="1"/>
    <col min="6" max="6" width="10.140625" style="35" customWidth="1"/>
    <col min="7" max="10" width="9.85546875" style="34" customWidth="1"/>
    <col min="11" max="22" width="9.140625" style="34"/>
    <col min="23" max="16384" width="9.140625" style="35"/>
  </cols>
  <sheetData>
    <row r="1" spans="1:22" ht="26.45" customHeight="1">
      <c r="A1" s="128" t="str">
        <f>"งบประมาณค่าใช้จ่ายในการผลิตบัณฑิต   หลักสูตร/สาขาวิชา" &amp; กรอกข้อมูล!H1 &amp; "    ปีงบประมาณ พ.ศ."&amp;กรอกข้อมูล!E2</f>
        <v>งบประมาณค่าใช้จ่ายในการผลิตบัณฑิต   หลักสูตร/สาขาวิชาเทคโนโลยีชีวภาพ    ปีงบประมาณ พ.ศ.2559</v>
      </c>
      <c r="B1" s="33"/>
      <c r="C1" s="92"/>
      <c r="D1" s="93"/>
      <c r="E1" s="40"/>
      <c r="F1" s="40"/>
      <c r="G1" s="40"/>
    </row>
    <row r="2" spans="1:22" s="36" customFormat="1" ht="20.25" customHeight="1" thickBot="1"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40" customFormat="1" ht="26.25">
      <c r="A3" s="237" t="s">
        <v>3</v>
      </c>
      <c r="B3" s="238"/>
      <c r="C3" s="87" t="s">
        <v>4</v>
      </c>
      <c r="D3" s="241" t="s">
        <v>5</v>
      </c>
      <c r="E3" s="242"/>
      <c r="F3" s="243"/>
      <c r="G3" s="34"/>
    </row>
    <row r="4" spans="1:22" s="40" customFormat="1" ht="27" thickBot="1">
      <c r="A4" s="239"/>
      <c r="B4" s="240"/>
      <c r="C4" s="88">
        <f>กรอกข้อมูล!E2</f>
        <v>2559</v>
      </c>
      <c r="D4" s="88">
        <f>C4+1</f>
        <v>2560</v>
      </c>
      <c r="E4" s="88">
        <f t="shared" ref="E4:F4" si="0">D4+1</f>
        <v>2561</v>
      </c>
      <c r="F4" s="89">
        <f t="shared" si="0"/>
        <v>2562</v>
      </c>
      <c r="G4" s="34"/>
    </row>
    <row r="5" spans="1:22" ht="23.25" customHeight="1" thickBot="1">
      <c r="A5" s="244" t="s">
        <v>91</v>
      </c>
      <c r="B5" s="245"/>
      <c r="C5" s="76">
        <f>C6+C13+C16</f>
        <v>2574000</v>
      </c>
      <c r="D5" s="76">
        <f>D6+D13+D16</f>
        <v>2675592</v>
      </c>
      <c r="E5" s="76">
        <f>E6+E13+E16</f>
        <v>2781220.32</v>
      </c>
      <c r="F5" s="76">
        <f>F6+F13+F16</f>
        <v>2891045.8656000001</v>
      </c>
      <c r="V5" s="35"/>
    </row>
    <row r="6" spans="1:22" ht="21.75" customHeight="1" thickTop="1">
      <c r="A6" s="246" t="s">
        <v>26</v>
      </c>
      <c r="B6" s="247"/>
      <c r="C6" s="77">
        <f>SUM(C7:C12)</f>
        <v>2505600</v>
      </c>
      <c r="D6" s="77">
        <f>C6*1.04</f>
        <v>2605824</v>
      </c>
      <c r="E6" s="77">
        <f>D6*1.04</f>
        <v>2710056.96</v>
      </c>
      <c r="F6" s="77">
        <f>E6*1.04</f>
        <v>2818459.2384000001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35"/>
    </row>
    <row r="7" spans="1:22" ht="21.75" customHeight="1">
      <c r="A7" s="248" t="s">
        <v>6</v>
      </c>
      <c r="B7" s="249"/>
      <c r="C7" s="78">
        <f>กรอกข้อมูล!D27</f>
        <v>1195200</v>
      </c>
      <c r="D7" s="103">
        <f t="shared" ref="D7:D15" si="1">C7*1.04</f>
        <v>1243008</v>
      </c>
      <c r="E7" s="103">
        <f t="shared" ref="E7:E12" si="2">D7*1.04</f>
        <v>1292728.3200000001</v>
      </c>
      <c r="F7" s="103">
        <f t="shared" ref="F7:F15" si="3">E7*1.04</f>
        <v>1344437.4528000001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21.75" customHeight="1">
      <c r="A8" s="248" t="s">
        <v>7</v>
      </c>
      <c r="B8" s="249"/>
      <c r="C8" s="78">
        <f>กรอกข้อมูล!D28</f>
        <v>540000</v>
      </c>
      <c r="D8" s="103">
        <f t="shared" si="1"/>
        <v>561600</v>
      </c>
      <c r="E8" s="103">
        <f t="shared" si="2"/>
        <v>584064</v>
      </c>
      <c r="F8" s="103">
        <f t="shared" si="3"/>
        <v>607426.56000000006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21.75" customHeight="1">
      <c r="A9" s="250" t="s">
        <v>8</v>
      </c>
      <c r="B9" s="251"/>
      <c r="C9" s="78">
        <f>กรอกข้อมูล!D29</f>
        <v>180000</v>
      </c>
      <c r="D9" s="103">
        <f t="shared" si="1"/>
        <v>187200</v>
      </c>
      <c r="E9" s="103">
        <f t="shared" si="2"/>
        <v>194688</v>
      </c>
      <c r="F9" s="103">
        <f t="shared" si="3"/>
        <v>202475.52000000002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21.75" customHeight="1">
      <c r="A10" s="252" t="s">
        <v>9</v>
      </c>
      <c r="B10" s="253"/>
      <c r="C10" s="78">
        <f>กรอกข้อมูล!D30</f>
        <v>0</v>
      </c>
      <c r="D10" s="103">
        <f t="shared" si="1"/>
        <v>0</v>
      </c>
      <c r="E10" s="103">
        <f t="shared" si="2"/>
        <v>0</v>
      </c>
      <c r="F10" s="103">
        <f t="shared" si="3"/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1.75" customHeight="1">
      <c r="A11" s="254" t="s">
        <v>10</v>
      </c>
      <c r="B11" s="255"/>
      <c r="C11" s="78">
        <f>กรอกข้อมูล!D31</f>
        <v>14400</v>
      </c>
      <c r="D11" s="103">
        <f t="shared" si="1"/>
        <v>14976</v>
      </c>
      <c r="E11" s="103">
        <f t="shared" si="2"/>
        <v>15575.04</v>
      </c>
      <c r="F11" s="103">
        <f t="shared" si="3"/>
        <v>16198.041600000002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21.75" customHeight="1">
      <c r="A12" s="254" t="s">
        <v>11</v>
      </c>
      <c r="B12" s="255"/>
      <c r="C12" s="78">
        <f>กรอกข้อมูล!D32</f>
        <v>576000</v>
      </c>
      <c r="D12" s="103">
        <f t="shared" si="1"/>
        <v>599040</v>
      </c>
      <c r="E12" s="103">
        <f t="shared" si="2"/>
        <v>623001.59999999998</v>
      </c>
      <c r="F12" s="103">
        <f t="shared" si="3"/>
        <v>647921.66399999999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21.75" customHeight="1">
      <c r="A13" s="235" t="s">
        <v>27</v>
      </c>
      <c r="B13" s="236"/>
      <c r="C13" s="78">
        <f>SUM(C14:C15)</f>
        <v>68400</v>
      </c>
      <c r="D13" s="79">
        <f>C13*1.02</f>
        <v>69768</v>
      </c>
      <c r="E13" s="79">
        <f>D13*1.02</f>
        <v>71163.360000000001</v>
      </c>
      <c r="F13" s="79">
        <f>E13*1.02</f>
        <v>72586.627200000003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5"/>
    </row>
    <row r="14" spans="1:22" ht="21.75" customHeight="1">
      <c r="A14" s="262" t="s">
        <v>12</v>
      </c>
      <c r="B14" s="262"/>
      <c r="C14" s="78">
        <f>กรอกข้อมูล!C35</f>
        <v>68200</v>
      </c>
      <c r="D14" s="103">
        <f t="shared" si="1"/>
        <v>70928</v>
      </c>
      <c r="E14" s="103">
        <f>D14*1.04</f>
        <v>73765.119999999995</v>
      </c>
      <c r="F14" s="103">
        <f t="shared" si="3"/>
        <v>76715.724799999996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35"/>
    </row>
    <row r="15" spans="1:22" ht="21.75" customHeight="1">
      <c r="A15" s="262" t="s">
        <v>13</v>
      </c>
      <c r="B15" s="262"/>
      <c r="C15" s="78">
        <f>กรอกข้อมูล!C36</f>
        <v>200</v>
      </c>
      <c r="D15" s="103">
        <f t="shared" si="1"/>
        <v>208</v>
      </c>
      <c r="E15" s="103">
        <f>D15*1.04</f>
        <v>216.32</v>
      </c>
      <c r="F15" s="103">
        <f t="shared" si="3"/>
        <v>224.97280000000001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5"/>
    </row>
    <row r="16" spans="1:22">
      <c r="A16" s="235" t="s">
        <v>28</v>
      </c>
      <c r="B16" s="236"/>
      <c r="C16" s="78">
        <f>กรอกข้อมูล!H35</f>
        <v>0</v>
      </c>
      <c r="D16" s="79">
        <f>C16*1.02</f>
        <v>0</v>
      </c>
      <c r="E16" s="79">
        <f>D16*1.02</f>
        <v>0</v>
      </c>
      <c r="F16" s="79">
        <f>E16*1.02</f>
        <v>0</v>
      </c>
    </row>
    <row r="17" spans="1:22" ht="21.75" customHeight="1" thickBot="1">
      <c r="A17" s="263" t="s">
        <v>92</v>
      </c>
      <c r="B17" s="264"/>
      <c r="C17" s="80">
        <f>SUM(C18:C19)</f>
        <v>5000</v>
      </c>
      <c r="D17" s="80">
        <f>SUM(D18:D19)</f>
        <v>5000</v>
      </c>
      <c r="E17" s="80">
        <f>SUM(E18:E19)</f>
        <v>5000</v>
      </c>
      <c r="F17" s="80">
        <f>SUM(F18:F19)</f>
        <v>5000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5"/>
    </row>
    <row r="18" spans="1:22" ht="21.75" customHeight="1" thickTop="1">
      <c r="A18" s="265" t="s">
        <v>14</v>
      </c>
      <c r="B18" s="265"/>
      <c r="C18" s="81">
        <f>กรอกข้อมูล!C107</f>
        <v>2000</v>
      </c>
      <c r="D18" s="82">
        <f>C18</f>
        <v>2000</v>
      </c>
      <c r="E18" s="82">
        <f>C18</f>
        <v>2000</v>
      </c>
      <c r="F18" s="82">
        <f>C18</f>
        <v>2000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5"/>
    </row>
    <row r="19" spans="1:22" ht="21.75" customHeight="1">
      <c r="A19" s="266" t="s">
        <v>15</v>
      </c>
      <c r="B19" s="266"/>
      <c r="C19" s="81">
        <f>กรอกข้อมูล!C108</f>
        <v>3000</v>
      </c>
      <c r="D19" s="83">
        <f>C19</f>
        <v>3000</v>
      </c>
      <c r="E19" s="83">
        <f>C19</f>
        <v>3000</v>
      </c>
      <c r="F19" s="83">
        <f>C19</f>
        <v>3000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35"/>
    </row>
    <row r="20" spans="1:22" ht="21.75" customHeight="1">
      <c r="A20" s="258" t="s">
        <v>93</v>
      </c>
      <c r="B20" s="259"/>
      <c r="C20" s="83">
        <f>'3ปันส่วนคณะ'!F26</f>
        <v>228.96942269669168</v>
      </c>
      <c r="D20" s="83">
        <f>C20</f>
        <v>228.96942269669168</v>
      </c>
      <c r="E20" s="83">
        <f t="shared" ref="E20:F20" si="4">D20</f>
        <v>228.96942269669168</v>
      </c>
      <c r="F20" s="83">
        <f t="shared" si="4"/>
        <v>228.96942269669168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5"/>
    </row>
    <row r="21" spans="1:22" ht="28.5" customHeight="1" thickBot="1">
      <c r="A21" s="267" t="s">
        <v>16</v>
      </c>
      <c r="B21" s="268"/>
      <c r="C21" s="80">
        <f>C5+C17+C20</f>
        <v>2579228.9694226966</v>
      </c>
      <c r="D21" s="80">
        <f t="shared" ref="D21:F21" si="5">D5+D17+D20</f>
        <v>2680820.9694226966</v>
      </c>
      <c r="E21" s="80">
        <f t="shared" si="5"/>
        <v>2786449.2894226965</v>
      </c>
      <c r="F21" s="80">
        <f t="shared" si="5"/>
        <v>2896274.8350226968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5"/>
    </row>
    <row r="22" spans="1:22" ht="21.75" thickTop="1">
      <c r="A22" s="269" t="s">
        <v>30</v>
      </c>
      <c r="B22" s="269"/>
      <c r="C22" s="84">
        <f>กรอกข้อมูล!D38</f>
        <v>200</v>
      </c>
      <c r="D22" s="84">
        <f>C22*1.04</f>
        <v>208</v>
      </c>
      <c r="E22" s="84">
        <f>D22*1.04</f>
        <v>216.32</v>
      </c>
      <c r="F22" s="84">
        <f>E22*1.04</f>
        <v>224.97280000000001</v>
      </c>
    </row>
    <row r="23" spans="1:22">
      <c r="A23" s="270" t="s">
        <v>17</v>
      </c>
      <c r="B23" s="271"/>
      <c r="C23" s="85"/>
      <c r="D23" s="85"/>
      <c r="E23" s="85"/>
      <c r="F23" s="85"/>
    </row>
    <row r="24" spans="1:22">
      <c r="A24" s="260" t="s">
        <v>29</v>
      </c>
      <c r="B24" s="261"/>
      <c r="C24" s="86">
        <f>IF(ISERR(C5/C22),"-",(C5/C22))</f>
        <v>12870</v>
      </c>
      <c r="D24" s="86">
        <f>(D5/D22)</f>
        <v>12863.423076923076</v>
      </c>
      <c r="E24" s="86">
        <f>E5/E22</f>
        <v>12856.972633136094</v>
      </c>
      <c r="F24" s="86">
        <f>F5/F22</f>
        <v>12850.646236345015</v>
      </c>
    </row>
    <row r="25" spans="1:22">
      <c r="A25" s="260" t="s">
        <v>94</v>
      </c>
      <c r="B25" s="261"/>
      <c r="C25" s="82">
        <f>(C5+C17)/C22</f>
        <v>12895</v>
      </c>
      <c r="D25" s="82">
        <f t="shared" ref="D25:F25" si="6">(D5+D17)/D22</f>
        <v>12887.461538461539</v>
      </c>
      <c r="E25" s="82">
        <f t="shared" si="6"/>
        <v>12880.086538461537</v>
      </c>
      <c r="F25" s="82">
        <f t="shared" si="6"/>
        <v>12872.871145311788</v>
      </c>
    </row>
    <row r="26" spans="1:22">
      <c r="A26" s="256" t="s">
        <v>95</v>
      </c>
      <c r="B26" s="257"/>
      <c r="C26" s="82">
        <f>(C5+C17+C20)/C22</f>
        <v>12896.144847113483</v>
      </c>
      <c r="D26" s="82">
        <f>(D5+D17+D20)/D22</f>
        <v>12888.562352993733</v>
      </c>
      <c r="E26" s="82">
        <f>(E5+E17+E20)/E22</f>
        <v>12881.145013973264</v>
      </c>
      <c r="F26" s="82">
        <f>(F5+F17+F20)/F22</f>
        <v>12873.888910226911</v>
      </c>
    </row>
    <row r="27" spans="1:22">
      <c r="A27" s="55"/>
    </row>
    <row r="28" spans="1:22">
      <c r="A28" s="55" t="s">
        <v>18</v>
      </c>
      <c r="B28" s="55" t="s">
        <v>86</v>
      </c>
      <c r="C28" s="55"/>
      <c r="D28" s="55"/>
      <c r="E28" s="55"/>
      <c r="F28" s="55"/>
    </row>
    <row r="29" spans="1:22">
      <c r="A29" s="55"/>
      <c r="B29" s="55" t="s">
        <v>19</v>
      </c>
      <c r="C29" s="55"/>
      <c r="D29" s="55"/>
      <c r="E29" s="55"/>
      <c r="F29" s="55"/>
    </row>
    <row r="30" spans="1:22">
      <c r="A30" s="55"/>
      <c r="B30" s="55" t="s">
        <v>20</v>
      </c>
      <c r="C30" s="55"/>
      <c r="D30" s="55"/>
      <c r="E30" s="55"/>
      <c r="F30" s="55"/>
    </row>
    <row r="31" spans="1:22">
      <c r="A31" s="55"/>
      <c r="B31" s="55" t="s">
        <v>87</v>
      </c>
      <c r="C31" s="55"/>
      <c r="D31" s="55"/>
      <c r="E31" s="55"/>
      <c r="F31" s="55"/>
    </row>
    <row r="32" spans="1:22">
      <c r="A32" s="55"/>
      <c r="B32" s="55" t="s">
        <v>21</v>
      </c>
      <c r="C32" s="55"/>
      <c r="D32" s="55"/>
      <c r="E32" s="55"/>
      <c r="F32" s="55"/>
    </row>
    <row r="33" spans="1:6">
      <c r="B33" s="55" t="s">
        <v>22</v>
      </c>
      <c r="C33" s="55"/>
      <c r="D33" s="55"/>
      <c r="E33" s="55"/>
      <c r="F33" s="55"/>
    </row>
    <row r="34" spans="1:6">
      <c r="B34" s="55" t="s">
        <v>88</v>
      </c>
      <c r="C34" s="55"/>
      <c r="D34" s="55"/>
      <c r="E34" s="55"/>
      <c r="F34" s="55"/>
    </row>
    <row r="35" spans="1:6">
      <c r="B35" s="55" t="s">
        <v>23</v>
      </c>
      <c r="C35" s="55"/>
      <c r="D35" s="55"/>
      <c r="E35" s="55"/>
      <c r="F35" s="55"/>
    </row>
    <row r="36" spans="1:6">
      <c r="B36" s="55" t="s">
        <v>89</v>
      </c>
      <c r="C36" s="55"/>
      <c r="D36" s="55"/>
      <c r="E36" s="55"/>
      <c r="F36" s="55"/>
    </row>
    <row r="37" spans="1:6">
      <c r="B37" s="55" t="s">
        <v>24</v>
      </c>
      <c r="C37" s="55"/>
      <c r="D37" s="55"/>
      <c r="E37" s="55"/>
      <c r="F37" s="55"/>
    </row>
    <row r="38" spans="1:6">
      <c r="B38" s="55" t="s">
        <v>25</v>
      </c>
    </row>
    <row r="40" spans="1:6" ht="26.25">
      <c r="A40" s="99" t="s">
        <v>127</v>
      </c>
      <c r="B40" s="57"/>
    </row>
    <row r="41" spans="1:6" ht="26.25">
      <c r="A41" s="99" t="s">
        <v>128</v>
      </c>
      <c r="B41" s="57"/>
    </row>
    <row r="42" spans="1:6" ht="26.25">
      <c r="A42" s="99" t="s">
        <v>129</v>
      </c>
      <c r="B42" s="57"/>
    </row>
    <row r="43" spans="1:6" ht="26.25">
      <c r="A43" s="99" t="s">
        <v>130</v>
      </c>
      <c r="B43" s="99"/>
    </row>
  </sheetData>
  <sheetProtection algorithmName="SHA-512" hashValue="PlqlMcXfzr1jEE8IEAutS801f5gLR2NO7SZL9e7K5Mx0lYjTExAW/vJbWJx2TUD6Nc/e2wraW9orWIhSwLb9iw==" saltValue="5KPtExKF2gdW+fi0I7hxUA==" spinCount="100000" sheet="1" objects="1" scenarios="1"/>
  <mergeCells count="24">
    <mergeCell ref="A26:B26"/>
    <mergeCell ref="A20:B20"/>
    <mergeCell ref="A25:B25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13:B13"/>
    <mergeCell ref="A3:B4"/>
    <mergeCell ref="D3:F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86" right="0.32" top="1" bottom="0.94" header="0.31496062992125984" footer="0.59"/>
  <pageSetup paperSize="9" scale="9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workbookViewId="0"/>
  </sheetViews>
  <sheetFormatPr defaultColWidth="9.140625" defaultRowHeight="21"/>
  <cols>
    <col min="1" max="1" width="11.28515625" style="35" customWidth="1"/>
    <col min="2" max="2" width="41.42578125" style="35" customWidth="1"/>
    <col min="3" max="3" width="13" style="35" customWidth="1"/>
    <col min="4" max="5" width="11.42578125" style="35" customWidth="1"/>
    <col min="6" max="6" width="10.140625" style="35" customWidth="1"/>
    <col min="7" max="10" width="9.85546875" style="34" customWidth="1"/>
    <col min="11" max="22" width="9.140625" style="34"/>
    <col min="23" max="16384" width="9.140625" style="35"/>
  </cols>
  <sheetData>
    <row r="1" spans="1:22" ht="24" customHeight="1">
      <c r="A1" s="32" t="s">
        <v>85</v>
      </c>
      <c r="B1" s="33"/>
      <c r="C1" s="193" t="s">
        <v>61</v>
      </c>
      <c r="D1" s="272" t="str">
        <f>กรอกข้อมูล!H2</f>
        <v>วิทยาศาสตร์และเทคโนโลยี</v>
      </c>
      <c r="E1" s="272"/>
      <c r="F1" s="272"/>
    </row>
    <row r="2" spans="1:22" s="36" customFormat="1" ht="20.25" customHeight="1" thickBot="1"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40" customFormat="1" ht="26.25">
      <c r="A3" s="273" t="s">
        <v>3</v>
      </c>
      <c r="B3" s="274"/>
      <c r="C3" s="39" t="s">
        <v>4</v>
      </c>
      <c r="D3" s="277" t="s">
        <v>5</v>
      </c>
      <c r="E3" s="278"/>
      <c r="F3" s="279"/>
      <c r="G3" s="34"/>
    </row>
    <row r="4" spans="1:22" s="40" customFormat="1" ht="27" thickBot="1">
      <c r="A4" s="275"/>
      <c r="B4" s="276"/>
      <c r="C4" s="41">
        <v>2559</v>
      </c>
      <c r="D4" s="41">
        <v>2560</v>
      </c>
      <c r="E4" s="41">
        <v>2561</v>
      </c>
      <c r="F4" s="42">
        <v>2562</v>
      </c>
      <c r="G4" s="34"/>
    </row>
    <row r="5" spans="1:22" ht="23.25" customHeight="1" thickBot="1">
      <c r="A5" s="244" t="s">
        <v>91</v>
      </c>
      <c r="B5" s="245"/>
      <c r="C5" s="43">
        <v>899999</v>
      </c>
      <c r="D5" s="43">
        <v>948665.62000000011</v>
      </c>
      <c r="E5" s="43">
        <v>1000145.5708000001</v>
      </c>
      <c r="F5" s="43">
        <v>1054605.5189200002</v>
      </c>
      <c r="V5" s="35"/>
    </row>
    <row r="6" spans="1:22" ht="21.75" customHeight="1" thickTop="1">
      <c r="A6" s="246" t="s">
        <v>26</v>
      </c>
      <c r="B6" s="247"/>
      <c r="C6" s="44">
        <v>766666</v>
      </c>
      <c r="D6" s="44">
        <v>812665.96000000008</v>
      </c>
      <c r="E6" s="44">
        <v>861425.91760000016</v>
      </c>
      <c r="F6" s="44">
        <v>913111.47265600017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35"/>
    </row>
    <row r="7" spans="1:22" ht="21.75" customHeight="1">
      <c r="A7" s="248" t="s">
        <v>6</v>
      </c>
      <c r="B7" s="249"/>
      <c r="C7" s="119">
        <v>100000</v>
      </c>
      <c r="D7" s="46">
        <v>104000</v>
      </c>
      <c r="E7" s="46">
        <v>105040</v>
      </c>
      <c r="F7" s="46">
        <v>109241.60000000001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21.75" customHeight="1">
      <c r="A8" s="248" t="s">
        <v>7</v>
      </c>
      <c r="B8" s="249"/>
      <c r="C8" s="119">
        <v>200000</v>
      </c>
      <c r="D8" s="46">
        <v>208000</v>
      </c>
      <c r="E8" s="46">
        <v>210080</v>
      </c>
      <c r="F8" s="46">
        <v>218483.20000000001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21.75" customHeight="1">
      <c r="A9" s="250" t="s">
        <v>8</v>
      </c>
      <c r="B9" s="251"/>
      <c r="C9" s="119">
        <v>22222</v>
      </c>
      <c r="D9" s="46">
        <v>23110.880000000001</v>
      </c>
      <c r="E9" s="46">
        <v>23341.988800000003</v>
      </c>
      <c r="F9" s="46">
        <v>24275.668352000004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21.75" customHeight="1">
      <c r="A10" s="252" t="s">
        <v>9</v>
      </c>
      <c r="B10" s="253"/>
      <c r="C10" s="119">
        <v>222222</v>
      </c>
      <c r="D10" s="46">
        <v>231110.88</v>
      </c>
      <c r="E10" s="46">
        <v>233421.98880000002</v>
      </c>
      <c r="F10" s="46">
        <v>242758.86835200002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1.75" customHeight="1">
      <c r="A11" s="254" t="s">
        <v>10</v>
      </c>
      <c r="B11" s="255"/>
      <c r="C11" s="119">
        <v>0</v>
      </c>
      <c r="D11" s="46">
        <v>0</v>
      </c>
      <c r="E11" s="46">
        <v>0</v>
      </c>
      <c r="F11" s="46"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21.75" customHeight="1">
      <c r="A12" s="254" t="s">
        <v>11</v>
      </c>
      <c r="B12" s="255"/>
      <c r="C12" s="119">
        <v>222222</v>
      </c>
      <c r="D12" s="46">
        <v>231110.88</v>
      </c>
      <c r="E12" s="46">
        <v>233421.98880000002</v>
      </c>
      <c r="F12" s="46">
        <v>242758.86835200002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21.75" customHeight="1">
      <c r="A13" s="235" t="s">
        <v>27</v>
      </c>
      <c r="B13" s="236"/>
      <c r="C13" s="47">
        <v>33333</v>
      </c>
      <c r="D13" s="48">
        <v>33999.660000000003</v>
      </c>
      <c r="E13" s="48">
        <v>34679.653200000001</v>
      </c>
      <c r="F13" s="48">
        <v>35373.246264000001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5"/>
    </row>
    <row r="14" spans="1:22" ht="21.75" customHeight="1">
      <c r="A14" s="262" t="s">
        <v>12</v>
      </c>
      <c r="B14" s="262"/>
      <c r="C14" s="119">
        <v>22222</v>
      </c>
      <c r="D14" s="46">
        <v>23110.880000000001</v>
      </c>
      <c r="E14" s="46">
        <v>23341.988800000003</v>
      </c>
      <c r="F14" s="46">
        <v>24275.668352000004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35"/>
    </row>
    <row r="15" spans="1:22" ht="21.75" customHeight="1">
      <c r="A15" s="262" t="s">
        <v>13</v>
      </c>
      <c r="B15" s="262"/>
      <c r="C15" s="119">
        <v>11111</v>
      </c>
      <c r="D15" s="46">
        <v>11555.44</v>
      </c>
      <c r="E15" s="46">
        <v>11670.994400000001</v>
      </c>
      <c r="F15" s="46">
        <v>12137.834176000002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5"/>
    </row>
    <row r="16" spans="1:22">
      <c r="A16" s="235" t="s">
        <v>28</v>
      </c>
      <c r="B16" s="236"/>
      <c r="C16" s="119">
        <v>100000</v>
      </c>
      <c r="D16" s="48">
        <v>102000</v>
      </c>
      <c r="E16" s="48">
        <v>104040</v>
      </c>
      <c r="F16" s="48">
        <v>106120.8</v>
      </c>
    </row>
    <row r="17" spans="1:22" ht="21.75" customHeight="1" thickBot="1">
      <c r="A17" s="263" t="s">
        <v>92</v>
      </c>
      <c r="B17" s="264"/>
      <c r="C17" s="49">
        <v>120000</v>
      </c>
      <c r="D17" s="49">
        <v>120000</v>
      </c>
      <c r="E17" s="49">
        <v>120000</v>
      </c>
      <c r="F17" s="49">
        <v>120000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5"/>
    </row>
    <row r="18" spans="1:22" ht="21.75" customHeight="1" thickTop="1">
      <c r="A18" s="265" t="s">
        <v>14</v>
      </c>
      <c r="B18" s="265"/>
      <c r="C18" s="120">
        <v>100000</v>
      </c>
      <c r="D18" s="50">
        <v>100000</v>
      </c>
      <c r="E18" s="50">
        <v>100000</v>
      </c>
      <c r="F18" s="50">
        <v>100000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5"/>
    </row>
    <row r="19" spans="1:22" ht="21.75" customHeight="1">
      <c r="A19" s="266" t="s">
        <v>15</v>
      </c>
      <c r="B19" s="266"/>
      <c r="C19" s="121">
        <v>20000</v>
      </c>
      <c r="D19" s="51">
        <v>20000</v>
      </c>
      <c r="E19" s="51">
        <v>20000</v>
      </c>
      <c r="F19" s="51">
        <v>20000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35"/>
    </row>
    <row r="20" spans="1:22" ht="21.75" customHeight="1">
      <c r="A20" s="258" t="s">
        <v>104</v>
      </c>
      <c r="B20" s="259"/>
      <c r="C20" s="51">
        <v>12807</v>
      </c>
      <c r="D20" s="51">
        <v>12807</v>
      </c>
      <c r="E20" s="51">
        <v>12807</v>
      </c>
      <c r="F20" s="51">
        <v>12807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5"/>
    </row>
    <row r="21" spans="1:22" ht="28.5" customHeight="1" thickBot="1">
      <c r="A21" s="267" t="s">
        <v>16</v>
      </c>
      <c r="B21" s="268"/>
      <c r="C21" s="49">
        <v>1032806</v>
      </c>
      <c r="D21" s="49">
        <v>1081472.6200000001</v>
      </c>
      <c r="E21" s="49">
        <v>1132952.5708000001</v>
      </c>
      <c r="F21" s="49">
        <v>1187412.5189200002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5"/>
    </row>
    <row r="22" spans="1:22" ht="21.75" thickTop="1">
      <c r="A22" s="269" t="s">
        <v>30</v>
      </c>
      <c r="B22" s="269"/>
      <c r="C22" s="122">
        <v>250</v>
      </c>
      <c r="D22" s="52">
        <v>260</v>
      </c>
      <c r="E22" s="52">
        <v>270.40000000000003</v>
      </c>
      <c r="F22" s="52">
        <v>281.21600000000007</v>
      </c>
    </row>
    <row r="23" spans="1:22">
      <c r="A23" s="280" t="s">
        <v>17</v>
      </c>
      <c r="B23" s="281"/>
      <c r="C23" s="53"/>
      <c r="D23" s="53"/>
      <c r="E23" s="53"/>
      <c r="F23" s="53"/>
    </row>
    <row r="24" spans="1:22">
      <c r="A24" s="260" t="s">
        <v>29</v>
      </c>
      <c r="B24" s="261"/>
      <c r="C24" s="54">
        <v>3599.9960000000001</v>
      </c>
      <c r="D24" s="54">
        <v>3648.7139230769235</v>
      </c>
      <c r="E24" s="54">
        <v>3698.7632056213015</v>
      </c>
      <c r="F24" s="54">
        <v>3750.1618646165225</v>
      </c>
    </row>
    <row r="25" spans="1:22">
      <c r="A25" s="260" t="s">
        <v>94</v>
      </c>
      <c r="B25" s="261"/>
      <c r="C25" s="50">
        <v>4079.9960000000001</v>
      </c>
      <c r="D25" s="50">
        <v>4110.2523846153854</v>
      </c>
      <c r="E25" s="50">
        <v>4142.5501878698224</v>
      </c>
      <c r="F25" s="50">
        <v>4176.8801167785614</v>
      </c>
    </row>
    <row r="26" spans="1:22">
      <c r="A26" s="256" t="s">
        <v>95</v>
      </c>
      <c r="B26" s="257"/>
      <c r="C26" s="50">
        <v>4131.2240000000002</v>
      </c>
      <c r="D26" s="50">
        <v>4110.2523846153854</v>
      </c>
      <c r="E26" s="50">
        <v>4142.5501878698224</v>
      </c>
      <c r="F26" s="50">
        <v>4176.8801167785614</v>
      </c>
    </row>
    <row r="27" spans="1:22">
      <c r="A27" s="55"/>
    </row>
    <row r="28" spans="1:22">
      <c r="A28" s="55" t="s">
        <v>18</v>
      </c>
      <c r="B28" s="55" t="s">
        <v>86</v>
      </c>
      <c r="C28" s="55"/>
      <c r="D28" s="55"/>
      <c r="E28" s="55"/>
      <c r="F28" s="55"/>
    </row>
    <row r="29" spans="1:22">
      <c r="A29" s="55"/>
      <c r="B29" s="55" t="s">
        <v>19</v>
      </c>
      <c r="C29" s="55"/>
      <c r="D29" s="55"/>
      <c r="E29" s="55"/>
      <c r="F29" s="55"/>
    </row>
    <row r="30" spans="1:22">
      <c r="A30" s="55"/>
      <c r="B30" s="55" t="s">
        <v>20</v>
      </c>
      <c r="C30" s="55"/>
      <c r="D30" s="55"/>
      <c r="E30" s="55"/>
      <c r="F30" s="55"/>
    </row>
    <row r="31" spans="1:22">
      <c r="A31" s="55"/>
      <c r="B31" s="55" t="s">
        <v>87</v>
      </c>
      <c r="C31" s="55"/>
      <c r="D31" s="55"/>
      <c r="E31" s="55"/>
      <c r="F31" s="55"/>
    </row>
    <row r="32" spans="1:22">
      <c r="A32" s="55"/>
      <c r="B32" s="55" t="s">
        <v>21</v>
      </c>
      <c r="C32" s="55"/>
      <c r="D32" s="55"/>
      <c r="E32" s="55"/>
      <c r="F32" s="55"/>
    </row>
    <row r="33" spans="2:6">
      <c r="B33" s="55" t="s">
        <v>22</v>
      </c>
      <c r="C33" s="55"/>
      <c r="D33" s="55"/>
      <c r="E33" s="55"/>
      <c r="F33" s="55"/>
    </row>
    <row r="34" spans="2:6">
      <c r="B34" s="55" t="s">
        <v>88</v>
      </c>
      <c r="C34" s="55"/>
      <c r="D34" s="55"/>
      <c r="E34" s="55"/>
      <c r="F34" s="55"/>
    </row>
    <row r="35" spans="2:6">
      <c r="B35" s="55" t="s">
        <v>23</v>
      </c>
      <c r="C35" s="55"/>
      <c r="D35" s="55"/>
      <c r="E35" s="55"/>
      <c r="F35" s="55"/>
    </row>
    <row r="36" spans="2:6">
      <c r="B36" s="55" t="s">
        <v>89</v>
      </c>
      <c r="C36" s="55"/>
      <c r="D36" s="55"/>
      <c r="E36" s="55"/>
      <c r="F36" s="55"/>
    </row>
    <row r="37" spans="2:6">
      <c r="B37" s="55" t="s">
        <v>24</v>
      </c>
      <c r="C37" s="55"/>
      <c r="D37" s="55"/>
      <c r="E37" s="55"/>
      <c r="F37" s="55"/>
    </row>
    <row r="38" spans="2:6">
      <c r="B38" s="55" t="s">
        <v>25</v>
      </c>
    </row>
  </sheetData>
  <sheetProtection algorithmName="SHA-512" hashValue="tqGE2LYQr93vjdiKdGM5Z14BgSSnPogbH0o/+HCLHwBglRtNcWc0IvhcMEKvJ6a/Sd4Qif/261IdYpdJ9MiKQQ==" saltValue="screFFliGfYji/g3+9gENw==" spinCount="100000" sheet="1" objects="1" scenarios="1"/>
  <protectedRanges>
    <protectedRange sqref="D1 C7:C12 C14:C16 C18:C19 C22" name="Range1"/>
  </protectedRanges>
  <mergeCells count="25">
    <mergeCell ref="A26:B26"/>
    <mergeCell ref="A20:B20"/>
    <mergeCell ref="A21:B21"/>
    <mergeCell ref="A22:B22"/>
    <mergeCell ref="A23:B23"/>
    <mergeCell ref="A24:B24"/>
    <mergeCell ref="A25:B25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D1:F1"/>
    <mergeCell ref="A3:B4"/>
    <mergeCell ref="D3:F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กรอกข้อมูล</vt:lpstr>
      <vt:lpstr>1เกณฑ์ปันส่วน</vt:lpstr>
      <vt:lpstr>2ข้อมูลปันส่วน</vt:lpstr>
      <vt:lpstr>3ปันส่วนคณะ</vt:lpstr>
      <vt:lpstr>เสื่อมอาคาร</vt:lpstr>
      <vt:lpstr>เสื่อมพัสดุ</vt:lpstr>
      <vt:lpstr>UCหลักสูตร</vt:lpstr>
      <vt:lpstr>UCostคณะ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Y89N6-KWWJX-YHFVP-DWMGK-XKR9J </cp:lastModifiedBy>
  <cp:lastPrinted>2016-08-18T01:57:08Z</cp:lastPrinted>
  <dcterms:created xsi:type="dcterms:W3CDTF">2016-04-04T08:51:23Z</dcterms:created>
  <dcterms:modified xsi:type="dcterms:W3CDTF">2016-08-18T02:36:32Z</dcterms:modified>
</cp:coreProperties>
</file>